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3.xml" ContentType="application/vnd.openxmlformats-officedocument.drawing+xml"/>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5601"/>
  <workbookPr/>
  <mc:AlternateContent xmlns:mc="http://schemas.openxmlformats.org/markup-compatibility/2006">
    <mc:Choice Requires="x15">
      <x15ac:absPath xmlns:x15ac="http://schemas.microsoft.com/office/spreadsheetml/2010/11/ac" url="https://d.docs.live.net/7f01968cccf931a2/Documents/VINTAGE GUITAR BRANDS/aa CONN/Acoustic/"/>
    </mc:Choice>
  </mc:AlternateContent>
  <xr:revisionPtr revIDLastSave="0" documentId="8_{2408EDB0-88BA-4758-9834-15887DF82087}" xr6:coauthVersionLast="47" xr6:coauthVersionMax="47" xr10:uidLastSave="{00000000-0000-0000-0000-000000000000}"/>
  <bookViews>
    <workbookView xWindow="-120" yWindow="-120" windowWidth="20730" windowHeight="11040" activeTab="1" xr2:uid="{00000000-000D-0000-FFFF-FFFF00000000}"/>
  </bookViews>
  <sheets>
    <sheet name="STATS" sheetId="1" r:id="rId1"/>
    <sheet name="STREET VALUE" sheetId="4" r:id="rId2"/>
    <sheet name="IMPORTANT NOTES" sheetId="2" r:id="rId3"/>
    <sheet name="REVISIONS" sheetId="3" r:id="rId4"/>
    <sheet name="Steel-String Rosettes" sheetId="8" r:id="rId5"/>
    <sheet name="Steel-String Rosettes (2)" sheetId="9" r:id="rId6"/>
    <sheet name="Photos of Invoices" sheetId="5" r:id="rId7"/>
  </sheets>
  <definedNames>
    <definedName name="_xlnm._FilterDatabase" localSheetId="0" hidden="1">STATS!$A$3:$AE$62</definedName>
    <definedName name="_xlnm._FilterDatabase" localSheetId="1" hidden="1">'STREET VALUE'!$B$6:$BE$6</definedName>
  </definedNames>
  <calcPr calcId="191029"/>
  <fileRecoveryPr repairLoad="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A10" i="4" l="1"/>
  <c r="AA27" i="4"/>
  <c r="AA25" i="4"/>
  <c r="AG25" i="4"/>
  <c r="K11" i="4"/>
  <c r="K10" i="4" s="1"/>
  <c r="AK25" i="4"/>
  <c r="F15" i="4"/>
  <c r="AL21" i="4"/>
  <c r="AA23" i="4"/>
  <c r="AX10" i="4"/>
  <c r="AX17" i="4"/>
  <c r="AK23" i="4"/>
  <c r="AB37" i="4"/>
  <c r="AY23" i="4"/>
  <c r="AJ10" i="4"/>
  <c r="AK21" i="4"/>
  <c r="G65" i="4"/>
  <c r="G63" i="4"/>
  <c r="G15" i="4"/>
  <c r="G61" i="4"/>
  <c r="J27" i="4"/>
  <c r="AB35" i="4"/>
  <c r="J25" i="4"/>
  <c r="BB13" i="4"/>
  <c r="G13" i="4"/>
  <c r="C17" i="4"/>
  <c r="AY21" i="4"/>
  <c r="AF10" i="4"/>
  <c r="AF13" i="4"/>
  <c r="J23" i="4"/>
  <c r="J21" i="4"/>
  <c r="J19" i="4"/>
  <c r="J17" i="4"/>
  <c r="BE10" i="4"/>
  <c r="BA10" i="4"/>
  <c r="AW10" i="4"/>
  <c r="AV10" i="4"/>
  <c r="AU10" i="4"/>
  <c r="AS10" i="4"/>
  <c r="AR10" i="4"/>
  <c r="AP10" i="4"/>
  <c r="AO10" i="4"/>
  <c r="AN10" i="4"/>
  <c r="AM10" i="4"/>
  <c r="AE10" i="4"/>
  <c r="AC10" i="4"/>
  <c r="W10" i="4"/>
  <c r="U10" i="4"/>
  <c r="R10" i="4"/>
  <c r="Q10" i="4"/>
  <c r="O10" i="4"/>
  <c r="N10" i="4"/>
  <c r="L10" i="4"/>
  <c r="I10" i="4"/>
  <c r="G59" i="4"/>
  <c r="G57" i="4"/>
  <c r="G55" i="4"/>
  <c r="G53" i="4"/>
  <c r="G51" i="4"/>
  <c r="G11" i="4"/>
  <c r="G10" i="4" s="1"/>
  <c r="E13" i="4"/>
  <c r="C11" i="4"/>
  <c r="C10" i="4" s="1"/>
  <c r="AQ19" i="4"/>
  <c r="H35" i="4"/>
  <c r="AD15" i="4"/>
  <c r="BC17" i="4"/>
  <c r="BC10" i="4" s="1"/>
  <c r="AB33" i="4"/>
  <c r="J15" i="4"/>
  <c r="V11" i="4"/>
  <c r="V10" i="4"/>
  <c r="D11" i="4"/>
  <c r="D10" i="4"/>
  <c r="AG23" i="4"/>
  <c r="AA21" i="4"/>
  <c r="E11" i="4"/>
  <c r="E10" i="4"/>
  <c r="H33" i="4"/>
  <c r="AG21" i="4"/>
  <c r="AZ15" i="4"/>
  <c r="J13" i="4"/>
  <c r="G49" i="4"/>
  <c r="AQ17" i="4"/>
  <c r="Z17" i="4"/>
  <c r="AY19" i="4"/>
  <c r="S11" i="4"/>
  <c r="S10" i="4"/>
  <c r="G47" i="4"/>
  <c r="AL19" i="4"/>
  <c r="T11" i="4"/>
  <c r="T10" i="4"/>
  <c r="AB31" i="4"/>
  <c r="Y17" i="4"/>
  <c r="Y10" i="4" s="1"/>
  <c r="G45" i="4"/>
  <c r="AL17" i="4"/>
  <c r="Y15" i="4"/>
  <c r="AL15" i="4"/>
  <c r="AY17" i="4"/>
  <c r="AI11" i="4"/>
  <c r="AI10" i="4"/>
  <c r="AK19" i="4"/>
  <c r="G43" i="4"/>
  <c r="M13" i="4"/>
  <c r="G41" i="4"/>
  <c r="AA19" i="4"/>
  <c r="AL13" i="4"/>
  <c r="H31" i="4"/>
  <c r="AK17" i="4"/>
  <c r="G39" i="4"/>
  <c r="AX15" i="4"/>
  <c r="C15" i="4"/>
  <c r="AB29" i="4"/>
  <c r="Z15" i="4"/>
  <c r="G37" i="4"/>
  <c r="AB27" i="4"/>
  <c r="AD13" i="4"/>
  <c r="C13" i="4"/>
  <c r="H29" i="4"/>
  <c r="Y13" i="4"/>
  <c r="BC15" i="4"/>
  <c r="AY15" i="4"/>
  <c r="AB25" i="4"/>
  <c r="G35" i="4"/>
  <c r="AQ15" i="4"/>
  <c r="AQ10" i="4" s="1"/>
  <c r="AY13" i="4"/>
  <c r="Y11" i="4"/>
  <c r="BD13" i="4"/>
  <c r="BD11" i="4"/>
  <c r="F13" i="4"/>
  <c r="AA17" i="4"/>
  <c r="AT11" i="4"/>
  <c r="AT10" i="4" s="1"/>
  <c r="G33" i="4"/>
  <c r="X13" i="4"/>
  <c r="G31" i="4"/>
  <c r="AQ13" i="4"/>
  <c r="AL11" i="4"/>
  <c r="AL10" i="4" s="1"/>
  <c r="G29" i="4"/>
  <c r="G27" i="4"/>
  <c r="G25" i="4"/>
  <c r="G23" i="4"/>
  <c r="G21" i="4"/>
  <c r="G19" i="4"/>
  <c r="G17" i="4"/>
  <c r="AK15" i="4"/>
  <c r="AB23" i="4"/>
  <c r="H27" i="4"/>
  <c r="BB11" i="4"/>
  <c r="BB10" i="4" s="1"/>
  <c r="BC13" i="4"/>
  <c r="AG19" i="4"/>
  <c r="AG17" i="4"/>
  <c r="AG15" i="4"/>
  <c r="AG13" i="4"/>
  <c r="AG11" i="4"/>
  <c r="AG10" i="4" s="1"/>
  <c r="P15" i="4"/>
  <c r="AB21" i="4"/>
  <c r="P13" i="4"/>
  <c r="H25" i="4"/>
  <c r="H23" i="4"/>
  <c r="AH17" i="4"/>
  <c r="AH10" i="4" s="1"/>
  <c r="AB19" i="4"/>
  <c r="AD11" i="4"/>
  <c r="AD10" i="4"/>
  <c r="AZ13" i="4"/>
  <c r="BC11" i="4"/>
  <c r="AB17" i="4"/>
  <c r="AH15" i="4"/>
  <c r="AB15" i="4"/>
  <c r="AB10" i="4" s="1"/>
  <c r="P11" i="4"/>
  <c r="P10" i="4" s="1"/>
  <c r="AX13" i="4"/>
  <c r="AY11" i="4"/>
  <c r="AY10" i="4" s="1"/>
  <c r="AZ11" i="4"/>
  <c r="AZ10" i="4" s="1"/>
  <c r="Z11" i="4"/>
  <c r="Z13" i="4"/>
  <c r="Z10" i="4" s="1"/>
  <c r="M11" i="4"/>
  <c r="H17" i="4"/>
  <c r="H19" i="4"/>
  <c r="H21" i="4"/>
  <c r="J11" i="4"/>
  <c r="J10" i="4" s="1"/>
  <c r="F11" i="4"/>
  <c r="F10" i="4" s="1"/>
  <c r="AX11" i="4"/>
  <c r="AK13" i="4"/>
  <c r="AK10" i="4" s="1"/>
  <c r="M10" i="4"/>
  <c r="X10" i="4"/>
  <c r="BD10" i="4"/>
  <c r="H10" i="4"/>
</calcChain>
</file>

<file path=xl/sharedStrings.xml><?xml version="1.0" encoding="utf-8"?>
<sst xmlns="http://schemas.openxmlformats.org/spreadsheetml/2006/main" count="1978" uniqueCount="622">
  <si>
    <t>NECK</t>
  </si>
  <si>
    <t>FRETBOARD</t>
  </si>
  <si>
    <t>BRACING</t>
  </si>
  <si>
    <t>LOWER BOUT WIDTH</t>
  </si>
  <si>
    <t>UPPER BOUT WIDTH</t>
  </si>
  <si>
    <t>F-29</t>
  </si>
  <si>
    <t>SOLID SPRUCE</t>
  </si>
  <si>
    <t>MAHOGANY</t>
  </si>
  <si>
    <t>EBONY</t>
  </si>
  <si>
    <t>DREADNOUGHT</t>
  </si>
  <si>
    <t>RECTANGULAR INLAY MOTHER OF PEARL</t>
  </si>
  <si>
    <t>F-27</t>
  </si>
  <si>
    <t>1974-1976</t>
  </si>
  <si>
    <t>ROSEWOOD</t>
  </si>
  <si>
    <t>F-15</t>
  </si>
  <si>
    <t>1974-1978</t>
  </si>
  <si>
    <t>MOTHER OF PEARL DOT MARKERS</t>
  </si>
  <si>
    <t>BINDING</t>
  </si>
  <si>
    <t>F-31</t>
  </si>
  <si>
    <t>INLAID ABALONE</t>
  </si>
  <si>
    <t>MOSAIC</t>
  </si>
  <si>
    <t>F-21</t>
  </si>
  <si>
    <t>F-1512</t>
  </si>
  <si>
    <t>DESCRIPTION</t>
  </si>
  <si>
    <t>6-STRING ACOUSTIC</t>
  </si>
  <si>
    <t>12-STRING ACOUSTIC</t>
  </si>
  <si>
    <t>SIMPLE BWB RINGS</t>
  </si>
  <si>
    <t>NONE</t>
  </si>
  <si>
    <t>F-2112</t>
  </si>
  <si>
    <t>COMMENTS</t>
  </si>
  <si>
    <t>F-2712</t>
  </si>
  <si>
    <t>F-9</t>
  </si>
  <si>
    <t>GRAND CONCERT</t>
  </si>
  <si>
    <t>F-18</t>
  </si>
  <si>
    <t>F-11</t>
  </si>
  <si>
    <t>C-11</t>
  </si>
  <si>
    <t>CLASSICAL</t>
  </si>
  <si>
    <t>C-21</t>
  </si>
  <si>
    <t>C-31</t>
  </si>
  <si>
    <t>C-9</t>
  </si>
  <si>
    <t>BLACK PLASTIC</t>
  </si>
  <si>
    <t>NATO</t>
  </si>
  <si>
    <t>Uri-Bone (Synthetic)</t>
  </si>
  <si>
    <t>F-21SB</t>
  </si>
  <si>
    <t>OVERALL LENGTH</t>
  </si>
  <si>
    <t>BODY LENGTH</t>
  </si>
  <si>
    <t>LOWER BOUT DEPTH</t>
  </si>
  <si>
    <t>DIMENSIONS IN INCHES</t>
  </si>
  <si>
    <t>NUMBER OF FRETS</t>
  </si>
  <si>
    <t>CHROME</t>
  </si>
  <si>
    <t>CONN-DESIGNED PRECISION</t>
  </si>
  <si>
    <t>SAPHERE</t>
  </si>
  <si>
    <t>SELECT MAHOGANY</t>
  </si>
  <si>
    <t>N/A</t>
  </si>
  <si>
    <t>WHITE PLASTIC</t>
  </si>
  <si>
    <t>BLACK WITH WHITE DOT PLASTIC</t>
  </si>
  <si>
    <t>SPECIAL NOTES</t>
  </si>
  <si>
    <t>F-200</t>
  </si>
  <si>
    <t>MODEL</t>
  </si>
  <si>
    <t>FINISH</t>
  </si>
  <si>
    <t>Bright Polyester (Polyurethane)</t>
  </si>
  <si>
    <t>HAND-FITTED TAPERED</t>
  </si>
  <si>
    <t>HAND-FITTED TAPERED FAN</t>
  </si>
  <si>
    <t>REV</t>
  </si>
  <si>
    <t>DATE</t>
  </si>
  <si>
    <t>A</t>
  </si>
  <si>
    <t>Added "Finish" column describing the type of finish used on outer surfaces of the instruments.</t>
  </si>
  <si>
    <t>F-28</t>
  </si>
  <si>
    <t>ORIGINAL TUNERS</t>
  </si>
  <si>
    <t>ORIGINAL BRIDGE PINS</t>
  </si>
  <si>
    <t>ORIGINAL BRIDGE</t>
  </si>
  <si>
    <t>ORIGINAL SADDLE</t>
  </si>
  <si>
    <t>ORIGINAL NUT</t>
  </si>
  <si>
    <t>B</t>
  </si>
  <si>
    <t>SEE COMMENTS</t>
  </si>
  <si>
    <t>C-20</t>
  </si>
  <si>
    <t>Added Models C20, F200 and F28. with comments.  Data on stats and construction is still being researched.</t>
  </si>
  <si>
    <t>EBONIZED ROSEWOOD</t>
  </si>
  <si>
    <t>PEARL</t>
  </si>
  <si>
    <t>WHITE AND PEARL</t>
  </si>
  <si>
    <t>F-20</t>
  </si>
  <si>
    <t>F-5</t>
  </si>
  <si>
    <t>F-12</t>
  </si>
  <si>
    <t>ADJUSTABLE ROSEWOOD</t>
  </si>
  <si>
    <t>F-35</t>
  </si>
  <si>
    <t>ABALONE VINE TREE-OF-LIFE FRET MARKERS</t>
  </si>
  <si>
    <t>PEARL/WHITE</t>
  </si>
  <si>
    <t>WHITE WITH ABALONE DOTS</t>
  </si>
  <si>
    <t>F-15M</t>
  </si>
  <si>
    <t>F-1212</t>
  </si>
  <si>
    <t>BLACK WITH WHITE DOTS PLASTIC</t>
  </si>
  <si>
    <t>TRIPLE BWB</t>
  </si>
  <si>
    <t>DELUXE GOLD BUTTERFLY BUTTON</t>
  </si>
  <si>
    <t>GROVER ROTOMATIC (GOLD)</t>
  </si>
  <si>
    <t>DELUXE GOLD</t>
  </si>
  <si>
    <t>C</t>
  </si>
  <si>
    <t>Corrected information in material (Wood) areas "Top" "Sides", "Back"--changed the words "Laminated" to "Select" per catalog.  Also revised "Gold Plated" to "Gold" per the actual G.C. Conn 1974, 1976, and 1978 catalogs.</t>
  </si>
  <si>
    <t>DELUXE INDIVIDUAL CHROME</t>
  </si>
  <si>
    <t>INDIVIDUAL CHROME</t>
  </si>
  <si>
    <t>WALNUT</t>
  </si>
  <si>
    <t>DATA SHOWN IS FROM MANUFACTURER'S CATALOG, BUT THE DATA IN THE CATALOG WAS NOT AS COMPREHENSIVE AS PREVIOUS YEARS.</t>
  </si>
  <si>
    <t>12-STRING VERSION OF THE F-12</t>
  </si>
  <si>
    <t>12-STRING VERSION OF THE F-15</t>
  </si>
  <si>
    <t>12-STRING VERSION OF THE F-21</t>
  </si>
  <si>
    <t>12-STRING VERSION OF THE F-27</t>
  </si>
  <si>
    <t>SIMPLE DOT MARKERS</t>
  </si>
  <si>
    <t>MAPLE</t>
  </si>
  <si>
    <t>D</t>
  </si>
  <si>
    <t>F-312</t>
  </si>
  <si>
    <t>C-200</t>
  </si>
  <si>
    <t>F-10</t>
  </si>
  <si>
    <t>F-25</t>
  </si>
  <si>
    <t>F-60</t>
  </si>
  <si>
    <t>F2112</t>
  </si>
  <si>
    <t>STYLE</t>
  </si>
  <si>
    <t>PRICE 1</t>
  </si>
  <si>
    <t>PRICE 2</t>
  </si>
  <si>
    <t>PRICE 3</t>
  </si>
  <si>
    <t>PRICE 4</t>
  </si>
  <si>
    <t>PRICE 5</t>
  </si>
  <si>
    <t>PRICE 6</t>
  </si>
  <si>
    <t>PRICE 7</t>
  </si>
  <si>
    <t>PRICE 8</t>
  </si>
  <si>
    <t>PRICE 9</t>
  </si>
  <si>
    <t>PRICE 10</t>
  </si>
  <si>
    <t>PRICE 11</t>
  </si>
  <si>
    <t>PRICE 12</t>
  </si>
  <si>
    <t>PRICE 13</t>
  </si>
  <si>
    <t>PRICE 14</t>
  </si>
  <si>
    <t>PRICE 15</t>
  </si>
  <si>
    <t>PRICE 16</t>
  </si>
  <si>
    <t>PRICE 17</t>
  </si>
  <si>
    <t>PRICE 18</t>
  </si>
  <si>
    <t>PRICE 19</t>
  </si>
  <si>
    <t>PRICE 20</t>
  </si>
  <si>
    <t>PRICE 21</t>
  </si>
  <si>
    <t>PRICE 22</t>
  </si>
  <si>
    <t>PRICE 23</t>
  </si>
  <si>
    <t>PRICE 24</t>
  </si>
  <si>
    <t>PRICE 25</t>
  </si>
  <si>
    <t>PRICE 26</t>
  </si>
  <si>
    <t>AVG PRICE:</t>
  </si>
  <si>
    <t>PRICE 27</t>
  </si>
  <si>
    <t>PRICE 28</t>
  </si>
  <si>
    <t>PRICE 29</t>
  </si>
  <si>
    <t>PRICE 30</t>
  </si>
  <si>
    <t>PRICE 31</t>
  </si>
  <si>
    <t>CLASSICAL 
6-STRING</t>
  </si>
  <si>
    <t>GRAND CONCERT
6-STRUBG</t>
  </si>
  <si>
    <t>DREADNOUGHT
6-STRING</t>
  </si>
  <si>
    <t>DREADNOUGHT
12-STRING</t>
  </si>
  <si>
    <t>DREADNOUGHT 
12-STRING</t>
  </si>
  <si>
    <t>AVERAGE STREET PRICE:</t>
  </si>
  <si>
    <t>C-10</t>
  </si>
  <si>
    <t>C-100</t>
  </si>
  <si>
    <t>NO DATA AVAILABLE.  MODEL NUMBER IS ONLY KNOW TO EXIST VIA SUBMITTAL BY OWNERS.</t>
  </si>
  <si>
    <t>YES</t>
  </si>
  <si>
    <t>GOLD</t>
  </si>
  <si>
    <t>DECORATIVE CLASSICAL ROSETTE</t>
  </si>
  <si>
    <t>DREADNOUGHT 
6-STRING</t>
  </si>
  <si>
    <t>E</t>
  </si>
  <si>
    <t>Added information for F-200 and F-20 models.  Added F-312 and F-60 Models.  Added C-100, C-200 C-700 model (no data yet).  Added hyperlinks to COMMENTS section for certain models.</t>
  </si>
  <si>
    <t>F-30</t>
  </si>
  <si>
    <t>WBW-WOOD-WBW</t>
  </si>
  <si>
    <t>(Adjust-able)</t>
  </si>
  <si>
    <t>C-300</t>
  </si>
  <si>
    <t>Source</t>
  </si>
  <si>
    <t>eBay Listing 280453895361</t>
  </si>
  <si>
    <t>NUT WIDTH</t>
  </si>
  <si>
    <t>3-PC MAHOGANY-MAPLE-MAHOGANY</t>
  </si>
  <si>
    <t>THIS MODEL DOES NOT APPEAR IN ANY OF THE MANUFACTURER'S CATALOG DATA IN MY POSSESSION.  INFO WAS PROVIDED BY OWNERS.</t>
  </si>
  <si>
    <t>CL Listing 1564985271</t>
  </si>
  <si>
    <t>eBay Listing 120525264998</t>
  </si>
  <si>
    <t>SGW Listing 5590343</t>
  </si>
  <si>
    <t>SGW Listing 5814621</t>
  </si>
  <si>
    <t>eBay Listing 120529047684</t>
  </si>
  <si>
    <t>eBay Listing 260552831597</t>
  </si>
  <si>
    <t>eBay Listing 220556670257</t>
  </si>
  <si>
    <t>eBay Listing 360233825718</t>
  </si>
  <si>
    <t>TWIN BLACK LINES</t>
  </si>
  <si>
    <t>WBW, WBW, WBW RINGS</t>
  </si>
  <si>
    <t>Not Recorded</t>
  </si>
  <si>
    <t>DREADNOUGHT 
6-STRING (Sunburst)</t>
  </si>
  <si>
    <t>SGW Listing 5959377</t>
  </si>
  <si>
    <t>eBay Listing 220558683339</t>
  </si>
  <si>
    <t>eBay Listing 260557339890</t>
  </si>
  <si>
    <t>eBay Listing 300403697386</t>
  </si>
  <si>
    <t>eBay Listing 280474612024</t>
  </si>
  <si>
    <t>F-100</t>
  </si>
  <si>
    <t>SGW Listing 5943858</t>
  </si>
  <si>
    <t>eBay Listing 280519432487</t>
  </si>
  <si>
    <t>eBay Listing 300435793731</t>
  </si>
  <si>
    <t>C-7</t>
  </si>
  <si>
    <t>C-19</t>
  </si>
  <si>
    <t>C-23</t>
  </si>
  <si>
    <t>C-33</t>
  </si>
  <si>
    <t>F-27CH</t>
  </si>
  <si>
    <t>BACK PURFLING</t>
  </si>
  <si>
    <t>CHROME WITH PEARL BUTTONS</t>
  </si>
  <si>
    <t>WOOD INLAY</t>
  </si>
  <si>
    <t>DARK BROWN</t>
  </si>
  <si>
    <t>DELUXE GOLD WITH PEARL BUTTONS</t>
  </si>
  <si>
    <t>1976-1978</t>
  </si>
  <si>
    <t>WALNUT INLAY</t>
  </si>
  <si>
    <t>CONN CHROME PRECISION</t>
  </si>
  <si>
    <t>EBONIZED</t>
  </si>
  <si>
    <t>RECTANGULAR</t>
  </si>
  <si>
    <t>Added Filters to allow easy sorting, added info for F-20 model (Dreadnought). Added "Street Value" tab. Added several missing 1978 models.</t>
  </si>
  <si>
    <t>BOUND EBONIZED ROSEWOOD</t>
  </si>
  <si>
    <t>FLAT-FINISHED MAHOGANY</t>
  </si>
  <si>
    <t>DREADNOUGHT 6-STRING</t>
  </si>
  <si>
    <t>eBay Listing 110523335445</t>
  </si>
  <si>
    <t>eBay Listing 170472676609</t>
  </si>
  <si>
    <t>F</t>
  </si>
  <si>
    <t>Added sample photos of various Conn Acoustics</t>
  </si>
  <si>
    <t>eBay Listing 220630476427</t>
  </si>
  <si>
    <t>eBay Listing 110551732686</t>
  </si>
  <si>
    <t>eBay Listing 150462451944</t>
  </si>
  <si>
    <t>eBay Listing 260627974541</t>
  </si>
  <si>
    <t>eBay Listing 220608191616</t>
  </si>
  <si>
    <t>eBay Listing 140408109649</t>
  </si>
  <si>
    <t>eBay Listing 120562547064</t>
  </si>
  <si>
    <t>eBay Listing 350344241465</t>
  </si>
  <si>
    <t>eBay Listing 260629604242</t>
  </si>
  <si>
    <t>G</t>
  </si>
  <si>
    <t>Added street prices for Conn Guitars. Also removed notations of Brazilian Rosewood from all</t>
  </si>
  <si>
    <t>guitars whose construction was noted as "Jacaranda". Reason: Jacaranda is the greater family</t>
  </si>
  <si>
    <t>that includes Brazilian rosewood, but includes many other varieties of rosewood as well.</t>
  </si>
  <si>
    <t>Brownsburg Guitar 8-17-2010</t>
  </si>
  <si>
    <t>eBay Listing 170531092480</t>
  </si>
  <si>
    <t>eBay Listing 250687410553</t>
  </si>
  <si>
    <t>eBay Listing 350403272874</t>
  </si>
  <si>
    <t>eBay Listing 300479816519</t>
  </si>
  <si>
    <t>eBay Listing 170543482758</t>
  </si>
  <si>
    <t>eBay Listing 370447178662</t>
  </si>
  <si>
    <t>eBay Listing 180554906375</t>
  </si>
  <si>
    <t>eBay Listing 220659160387</t>
  </si>
  <si>
    <t>eBay Listing 150511715144</t>
  </si>
  <si>
    <t>eBay Listing 120623843635</t>
  </si>
  <si>
    <t>eBay Listing 290499388537</t>
  </si>
  <si>
    <t>LAMINATED SPRUCE</t>
  </si>
  <si>
    <t>SIDE ONLY - AMBER DOTS</t>
  </si>
  <si>
    <t>1971-1973</t>
  </si>
  <si>
    <t>1-15/16</t>
  </si>
  <si>
    <t>RECTANGULAR INLAY ANODIZED ALUMINUM</t>
  </si>
  <si>
    <t>eBay Listing 120651480170</t>
  </si>
  <si>
    <t>eBay Listing 170574881254</t>
  </si>
  <si>
    <t>eBay Listing 110618369543</t>
  </si>
  <si>
    <t>eBay Listing 190476171741</t>
  </si>
  <si>
    <t>eBay Listing 110628985778</t>
  </si>
  <si>
    <t>SGW Listing 7277641</t>
  </si>
  <si>
    <t>FOLK GUITAR COMPOSITE BACK</t>
  </si>
  <si>
    <t>eBay Listing 170593329638</t>
  </si>
  <si>
    <t>SOURCE OF THIS DATA</t>
  </si>
  <si>
    <t>eBay Listing 160532162766</t>
  </si>
  <si>
    <t>eBay Listing 110636828074</t>
  </si>
  <si>
    <t>eBay Listing 320650956041</t>
  </si>
  <si>
    <t>HIGHEST PRICE PAID</t>
  </si>
  <si>
    <t>LOWEST PRICE PAID</t>
  </si>
  <si>
    <t>eBay Listing 260730014185</t>
  </si>
  <si>
    <t>eBay Listing 260732493504</t>
  </si>
  <si>
    <t>eBay Listing 120681218817</t>
  </si>
  <si>
    <t>eBay Listing 200574516076</t>
  </si>
  <si>
    <t>eBay Listing 300527718218</t>
  </si>
  <si>
    <t>eBay Listing 320670158446</t>
  </si>
  <si>
    <t>F-65</t>
  </si>
  <si>
    <t>SOLID ROSEWOOD</t>
  </si>
  <si>
    <t>BOUND ROSEWOOD</t>
  </si>
  <si>
    <t>1971-72</t>
  </si>
  <si>
    <t>C-60</t>
  </si>
  <si>
    <t>WOOD (MAPLE)</t>
  </si>
  <si>
    <t>DOTS</t>
  </si>
  <si>
    <t>HAND FITTED TAPERED FAN</t>
  </si>
  <si>
    <t>F-2712 (Korea)</t>
  </si>
  <si>
    <t>F-27 (Korea)</t>
  </si>
  <si>
    <t>F-7 (Korea)</t>
  </si>
  <si>
    <t>6-String Folk</t>
  </si>
  <si>
    <t>SGW Listing 7587806</t>
  </si>
  <si>
    <t>eBay Listing 270716900116</t>
  </si>
  <si>
    <t>eBay Listing 250791101886</t>
  </si>
  <si>
    <t>eBay Listing 270722596079</t>
  </si>
  <si>
    <t>eBay Listing 260748906780</t>
  </si>
  <si>
    <t>eBay Listing 160565139635</t>
  </si>
  <si>
    <t>eBay Listing 330552714452</t>
  </si>
  <si>
    <t>SGW Listing 7720991</t>
  </si>
  <si>
    <t>SGW Listing 7724886</t>
  </si>
  <si>
    <t>eBay, but Not Recorded</t>
  </si>
  <si>
    <t>eBay Listing 390305839250</t>
  </si>
  <si>
    <t>eBay Listing 280663207801</t>
  </si>
  <si>
    <t>eBay Listing 320689383174</t>
  </si>
  <si>
    <t>eBay Listing 350458578306</t>
  </si>
  <si>
    <t>eBay Listing 130522640767</t>
  </si>
  <si>
    <t>eBay Listing 120726619306</t>
  </si>
  <si>
    <t>eBay Listing 300557889014</t>
  </si>
  <si>
    <t>SGW Listing 7940096</t>
  </si>
  <si>
    <t>eBay Listing 360369961714</t>
  </si>
  <si>
    <t>eBay Listing 170627323401</t>
  </si>
  <si>
    <t>eBay Listing 130528219702</t>
  </si>
  <si>
    <t>eBay Listing 270759322101</t>
  </si>
  <si>
    <t>Un-Recorded eBay Listing</t>
  </si>
  <si>
    <t>eBay Listing 230631583921</t>
  </si>
  <si>
    <t>eBay Listing 130531148310</t>
  </si>
  <si>
    <t>F-7</t>
  </si>
  <si>
    <t>Unknown</t>
  </si>
  <si>
    <t>NO SALES</t>
  </si>
  <si>
    <t>H</t>
  </si>
  <si>
    <t>Workbook prepared for posting on Conn site.</t>
  </si>
  <si>
    <t>eBay Listing 140570480546</t>
  </si>
  <si>
    <t>eBay Listing 180697976423</t>
  </si>
  <si>
    <t>eBay Listing 260798919649</t>
  </si>
  <si>
    <t>eBay Listing 230632861389</t>
  </si>
  <si>
    <t>eBay Listing 150626562227</t>
  </si>
  <si>
    <t>eBay Listing 310325312370</t>
  </si>
  <si>
    <t>eBay Listing 150635135081</t>
  </si>
  <si>
    <t>eBay Listing 280706526806</t>
  </si>
  <si>
    <t>eBay Listing 130557073083</t>
  </si>
  <si>
    <t>eBay Listing 280718714855</t>
  </si>
  <si>
    <t>eBay Listing 370537517993</t>
  </si>
  <si>
    <t>eBay Listing 110752276660</t>
  </si>
  <si>
    <t xml:space="preserve">eBay Listing : 110752972398 </t>
  </si>
  <si>
    <t>eBay Listing 350492409844</t>
  </si>
  <si>
    <t>eBay Listing 230683760983</t>
  </si>
  <si>
    <t>SGW Listing 9002575</t>
  </si>
  <si>
    <t>eBay Listing 190590619378</t>
  </si>
  <si>
    <t>G-100</t>
  </si>
  <si>
    <t>CLASSICAL 6-STRING</t>
  </si>
  <si>
    <t>eBay Listing 270865972605</t>
  </si>
  <si>
    <t>eBay Listing 180747447981</t>
  </si>
  <si>
    <t>eBay Listing 320784316749</t>
  </si>
  <si>
    <t>CLASSICAL 
6-STRING (KOREA)</t>
  </si>
  <si>
    <t>eBay Listing 140632094506</t>
  </si>
  <si>
    <t>eBay Listing 150719286310</t>
  </si>
  <si>
    <t>GRAND CONCERT
6-STRING</t>
  </si>
  <si>
    <t>eBay Listing 260924903797</t>
  </si>
  <si>
    <t>SGW Listing 9140090</t>
  </si>
  <si>
    <t>eBay Listing 260926093262</t>
  </si>
  <si>
    <t>eBay Listing 270884529276</t>
  </si>
  <si>
    <t>eBay Listing 150735410369</t>
  </si>
  <si>
    <t>Many recent sales added.  Corrected mistaken identification of the F-200 from 12-String to 6-String on Stats per email from Cliff Wiebke.</t>
  </si>
  <si>
    <t>J</t>
  </si>
  <si>
    <t>SGW Listing 9527813</t>
  </si>
  <si>
    <t>C-8</t>
  </si>
  <si>
    <t>CLASSICAL
6-STRING</t>
  </si>
  <si>
    <t>eBay Listing 130658529809</t>
  </si>
  <si>
    <t>BWB and ABALONE</t>
  </si>
  <si>
    <t>RECTANGULAR INLAY MOTHER OF PEARL with ABALONE TRIANGLES</t>
  </si>
  <si>
    <t>eBay Listing 180864804630</t>
  </si>
  <si>
    <t>eBay Listing 150795432010</t>
  </si>
  <si>
    <t>K</t>
  </si>
  <si>
    <t>Reposted with no changes to new SharePoint site.</t>
  </si>
  <si>
    <t>eBay Listing 261194405743</t>
  </si>
  <si>
    <t>Craigslist to Don Johnson</t>
  </si>
  <si>
    <t>L</t>
  </si>
  <si>
    <t>SINGLE BLACK LINE</t>
  </si>
  <si>
    <t>C-7e</t>
  </si>
  <si>
    <t>CLASSICAL
ACOUSTIC/ELECTRIC
6-STRING</t>
  </si>
  <si>
    <t>F-23</t>
  </si>
  <si>
    <t>F-2A</t>
  </si>
  <si>
    <t>F-2SB</t>
  </si>
  <si>
    <t>F-2BE</t>
  </si>
  <si>
    <t>FOLK GUITAR COMPOSITE BACK
ACOUSTIC-ELECTRIC</t>
  </si>
  <si>
    <t>eBay Listing 161114351251</t>
  </si>
  <si>
    <t>eBay Listing 130998189959</t>
  </si>
  <si>
    <t>eBay Listing 161121932019</t>
  </si>
  <si>
    <t>eBay Listing 281169436301</t>
  </si>
  <si>
    <t>eBay Listing 380710465372</t>
  </si>
  <si>
    <t>eBay Listing 281166004613</t>
  </si>
  <si>
    <t>C-400</t>
  </si>
  <si>
    <t>C-400Q</t>
  </si>
  <si>
    <t>F-70</t>
  </si>
  <si>
    <t>F-75</t>
  </si>
  <si>
    <t>DREADNOUGHT
6-STRING
USA</t>
  </si>
  <si>
    <t>DREADNOUGHT
12-STRING
USA</t>
  </si>
  <si>
    <t>eBay Listing 121204514945</t>
  </si>
  <si>
    <t>eBay Listing 370919487372</t>
  </si>
  <si>
    <t>eBay Listing 370924449093</t>
  </si>
  <si>
    <t>C-10
C-100</t>
  </si>
  <si>
    <t>C-20
C-200</t>
  </si>
  <si>
    <t>eBay Listing 310794082263</t>
  </si>
  <si>
    <t>eBay Listing 121194368646</t>
  </si>
  <si>
    <t>eBay Listing 181265004746</t>
  </si>
  <si>
    <t>eBay Listing 200990389262</t>
  </si>
  <si>
    <t>eBay Listing 190980847055</t>
  </si>
  <si>
    <t>DREADNOUGHT
6-STRING
(Chrome Hardware)</t>
  </si>
  <si>
    <t>eBay Listing 181281639332</t>
  </si>
  <si>
    <t>eBay Listing 111232866254</t>
  </si>
  <si>
    <t>eBay Listing 321270853759</t>
  </si>
  <si>
    <t>eBay Listing 380791655612</t>
  </si>
  <si>
    <t>eBay Listing 151185661210</t>
  </si>
  <si>
    <t>eBay Listing 111240437519</t>
  </si>
  <si>
    <t>*2-PIECE MAHOGANY</t>
  </si>
  <si>
    <t>Updating with current sales. Added * to Top Wood and Side and Back wood for stats sheet.</t>
  </si>
  <si>
    <t>Listings used to authenticate actual sale price may have
been removed, and no longer available at the site
on which they were originally listed. When they were
added to this spreadsheet, they were active listings.</t>
  </si>
  <si>
    <t xml:space="preserve">MODEL# </t>
  </si>
  <si>
    <t>SPRUCE</t>
  </si>
  <si>
    <r>
      <rPr>
        <b/>
        <i/>
        <sz val="10"/>
        <color indexed="60"/>
        <rFont val="Arial"/>
        <family val="2"/>
      </rPr>
      <t>LOGO CHANGE:</t>
    </r>
    <r>
      <rPr>
        <sz val="10"/>
        <color indexed="60"/>
        <rFont val="Arial"/>
        <family val="2"/>
      </rPr>
      <t xml:space="preserve">  Conn modified their existing logo for the first time in 1978--which is also the last year they manufactured acoustic guitars under the Conn brand.</t>
    </r>
  </si>
  <si>
    <r>
      <rPr>
        <b/>
        <i/>
        <sz val="10"/>
        <color indexed="60"/>
        <rFont val="Arial"/>
        <family val="2"/>
      </rPr>
      <t>WOODS USED:</t>
    </r>
    <r>
      <rPr>
        <sz val="10"/>
        <color indexed="60"/>
        <rFont val="Arial"/>
        <family val="2"/>
      </rPr>
      <t xml:space="preserve">  Conn used the term "Select Spruce" or "Select Mahogany" rather indiscriminately to describe the wood in their guitars. Unfortunately the marketing arm of Conn guitars had little experience with what they were selling. So some guitars were advertised "Select Spruce Top", and the top wood was laminated, while in others it was solid. Additionally, many errors have been found in the catalog descriptions. These have been corrected in the stats, when found.</t>
    </r>
  </si>
  <si>
    <r>
      <rPr>
        <b/>
        <i/>
        <sz val="10"/>
        <color indexed="60"/>
        <rFont val="Arial"/>
        <family val="2"/>
      </rPr>
      <t xml:space="preserve">CATALOG ERRORS: </t>
    </r>
    <r>
      <rPr>
        <sz val="10"/>
        <color indexed="60"/>
        <rFont val="Arial"/>
        <family val="2"/>
      </rPr>
      <t xml:space="preserve"> Wood shown on some models is identified from owners photos--since the model does not appear with descriptions in any catalogs. Also, in several cases, errors have been discovered in descriptions--which are either misprints, editing errors, or oversights from those at Conn who put the catalogs together. A couple of examples are: 1) 1971 brochure has descriptions for F-60 thru F-75 models but has mixed the descriptions with the wrong photos. Also in 1971 the Conn C-60 is identified as having a laminated top--when in fact it is known (from the founder) that the C-60 was an ALL SOLID WOOD guitar. 2) 1976 lists the model C-19 as having a "Select Mahogany Top". This is wrong, because the C-19 has the same top as other Conn classical guitars--spruce.</t>
    </r>
  </si>
  <si>
    <t>GOLD PLATED WITH PEARL BUTTONS</t>
  </si>
  <si>
    <t>TWO-PIECE ROSEWOOD</t>
  </si>
  <si>
    <t>TOP WOOD</t>
  </si>
  <si>
    <t>SIDE WOOD</t>
  </si>
  <si>
    <r>
      <rPr>
        <b/>
        <sz val="11"/>
        <rFont val="Arial"/>
        <family val="2"/>
      </rPr>
      <t>BACK WOOD</t>
    </r>
    <r>
      <rPr>
        <b/>
        <sz val="10"/>
        <rFont val="Arial"/>
        <family val="2"/>
      </rPr>
      <t/>
    </r>
  </si>
  <si>
    <t>SELECT SPRUCE</t>
  </si>
  <si>
    <t>(SPRUCE)</t>
  </si>
  <si>
    <t>(LAMINATED SPRUCE)</t>
  </si>
  <si>
    <t>(SELECT SPRUCE)</t>
  </si>
  <si>
    <t>(SOLID SPRUCE)</t>
  </si>
  <si>
    <t>MAHOGANY- STAINED SPRUCE</t>
  </si>
  <si>
    <t>SELECT SPRUCE (LAMINATED)</t>
  </si>
  <si>
    <t>SELECT SOLID SPRUCE</t>
  </si>
  <si>
    <t>SOLID SITKA SPRUCE</t>
  </si>
  <si>
    <t>SPRUCE (LAMINATED)</t>
  </si>
  <si>
    <t>SOLID MAPLE</t>
  </si>
  <si>
    <t>TWO-PC SOLID ROSEWOOD</t>
  </si>
  <si>
    <t>TWO-PC SOLID MAPLE</t>
  </si>
  <si>
    <t>THREE-PC ROSEWOOD</t>
  </si>
  <si>
    <t xml:space="preserve">JACARANDA </t>
  </si>
  <si>
    <t>TWO-PC JACARANDA</t>
  </si>
  <si>
    <t>(ROSEWOOD)</t>
  </si>
  <si>
    <t>(TWO-PIECE ROSEWOOD)</t>
  </si>
  <si>
    <t>(SOLID ROSEWOOD)</t>
  </si>
  <si>
    <t>EAST INDIAN ROSEWOOD</t>
  </si>
  <si>
    <t>TWO-PC ROSEWOOD</t>
  </si>
  <si>
    <t>(MAHOGANY)</t>
  </si>
  <si>
    <t>TWO-PIECE MAHOGANY</t>
  </si>
  <si>
    <t xml:space="preserve">TWO-PC JACARANDA </t>
  </si>
  <si>
    <t>(MAPLE)</t>
  </si>
  <si>
    <t>THREE-PC JACARANDA</t>
  </si>
  <si>
    <t>SUNBURST SAPHERE</t>
  </si>
  <si>
    <t>42-7/8</t>
  </si>
  <si>
    <t>39-1/8"</t>
  </si>
  <si>
    <t>39-1/8""</t>
  </si>
  <si>
    <t>41-1/8"</t>
  </si>
  <si>
    <t>40-1/4"</t>
  </si>
  <si>
    <t>42-3/4"</t>
  </si>
  <si>
    <t>4-3/4"</t>
  </si>
  <si>
    <t>16-1/8"</t>
  </si>
  <si>
    <t>19-7/8"</t>
  </si>
  <si>
    <t>15-7/8"</t>
  </si>
  <si>
    <t>11-7/8"</t>
  </si>
  <si>
    <t>15-3/8"</t>
  </si>
  <si>
    <t>16-3/8"</t>
  </si>
  <si>
    <t>18-15/16"</t>
  </si>
  <si>
    <t>3-15/16"</t>
  </si>
  <si>
    <t>4-15/16"</t>
  </si>
  <si>
    <t>14-1/2"</t>
  </si>
  <si>
    <t>11-1/8"</t>
  </si>
  <si>
    <t>19-1/4"</t>
  </si>
  <si>
    <t>4-3/16"</t>
  </si>
  <si>
    <t>11-7/16"</t>
  </si>
  <si>
    <t>11-13/16"</t>
  </si>
  <si>
    <t>OPALACA (Honduran Mahogany)</t>
  </si>
  <si>
    <t>C-40</t>
  </si>
  <si>
    <t>CLASSICAL - Small Body</t>
  </si>
  <si>
    <t>33-3/4"</t>
  </si>
  <si>
    <t>12-9/16"</t>
  </si>
  <si>
    <t>4"</t>
  </si>
  <si>
    <t>C-30</t>
  </si>
  <si>
    <t>39-1/4"</t>
  </si>
  <si>
    <t>THREE-PIECE LAMINATED</t>
  </si>
  <si>
    <t>15-7/16"</t>
  </si>
  <si>
    <t>38"</t>
  </si>
  <si>
    <t>15-3/4"</t>
  </si>
  <si>
    <t>THREE-PC LAMINATED</t>
  </si>
  <si>
    <t>42-5/8"</t>
  </si>
  <si>
    <t>4-5/8"</t>
  </si>
  <si>
    <t>41-1/4"</t>
  </si>
  <si>
    <t>15-5/8"</t>
  </si>
  <si>
    <t>FLAME MAPLE</t>
  </si>
  <si>
    <t>41-7/8"</t>
  </si>
  <si>
    <t>THREE-PIECE MAHOGANY</t>
  </si>
  <si>
    <t>FIXED ROSEWOOD</t>
  </si>
  <si>
    <t>FIXED EBONY</t>
  </si>
  <si>
    <t>SPRUCE
(LAMINATED)</t>
  </si>
  <si>
    <t>C-40Q</t>
  </si>
  <si>
    <t>NO CATALOG INFORMATION -- INFORMATION PROVIDED BY OWNER(S)</t>
  </si>
  <si>
    <t>eBay Listing 281219795357</t>
  </si>
  <si>
    <t>NO DOCUMENTED SALES</t>
  </si>
  <si>
    <r>
      <t xml:space="preserve">eBay Listing </t>
    </r>
    <r>
      <rPr>
        <b/>
        <sz val="10"/>
        <rFont val="Calibri"/>
        <family val="2"/>
      </rPr>
      <t>320783458584</t>
    </r>
  </si>
  <si>
    <t>eBay Listing 281207911819</t>
  </si>
  <si>
    <t>eBay Listing 301059307319</t>
  </si>
  <si>
    <t>eBay Listing 131081819635</t>
  </si>
  <si>
    <t>GRAND AUDITORIUM</t>
  </si>
  <si>
    <t>FACEPLATE</t>
  </si>
  <si>
    <t>BLACK</t>
  </si>
  <si>
    <t>F2BE</t>
  </si>
  <si>
    <t>F2BES</t>
  </si>
  <si>
    <t>F2SB</t>
  </si>
  <si>
    <t>SMALL BODY BOWL BACK</t>
  </si>
  <si>
    <t>6-STRING ACOUSTIC-ELECTRIC</t>
  </si>
  <si>
    <t>MADE IN</t>
  </si>
  <si>
    <t>KOREA</t>
  </si>
  <si>
    <t>JAPAN</t>
  </si>
  <si>
    <t>USA</t>
  </si>
  <si>
    <t>JAPAN KOREA</t>
  </si>
  <si>
    <t>eBay 281219795357</t>
  </si>
  <si>
    <t>RECTANGULAR MOP MARKERS</t>
  </si>
  <si>
    <t>C-8
Korea</t>
  </si>
  <si>
    <t>eBay Listing 181552850436</t>
  </si>
  <si>
    <t>eBay Listing 291260388820</t>
  </si>
  <si>
    <t>eBay Listing 281463065338</t>
  </si>
  <si>
    <t>eBay Listing 331331706298</t>
  </si>
  <si>
    <t>CREAM PLASTIC</t>
  </si>
  <si>
    <t>eBay Listing 261856694022</t>
  </si>
  <si>
    <t>GOLD PLATED COVERED TUNERS</t>
  </si>
  <si>
    <r>
      <rPr>
        <b/>
        <i/>
        <sz val="10"/>
        <color indexed="60"/>
        <rFont val="Arial"/>
        <family val="2"/>
      </rPr>
      <t>SAPHERE</t>
    </r>
    <r>
      <rPr>
        <sz val="10"/>
        <color indexed="60"/>
        <rFont val="Arial"/>
        <family val="2"/>
      </rPr>
      <t>: Saphere is the wood used on sides and back in a few of the Conn models.  Catalog data from 1976 states that "Saphere Mahogany" is the wood used. This is a tropical species of true mahogany.</t>
    </r>
  </si>
  <si>
    <t>1975</t>
  </si>
  <si>
    <t>GO BACK</t>
  </si>
  <si>
    <t>INDIVIDUAL COVERED CHROME</t>
  </si>
  <si>
    <t>eBay Listing 162016650733</t>
  </si>
  <si>
    <t>1972</t>
  </si>
  <si>
    <t>1980</t>
  </si>
  <si>
    <t>eBay Listing 172148966590</t>
  </si>
  <si>
    <t>ORIGINAL RETAIL SELLING PRICE (NEW) &gt;&gt;&gt;</t>
  </si>
  <si>
    <r>
      <t xml:space="preserve">
</t>
    </r>
    <r>
      <rPr>
        <b/>
        <i/>
        <sz val="11"/>
        <color indexed="10"/>
        <rFont val="Arial"/>
        <family val="2"/>
      </rPr>
      <t>VINTAGE ACOUSTIC GUITARS</t>
    </r>
  </si>
  <si>
    <t>M</t>
  </si>
  <si>
    <t>Ongoing updates incorporated.</t>
  </si>
  <si>
    <t>F-33</t>
  </si>
  <si>
    <t>UNKNOWN</t>
  </si>
  <si>
    <t>ROSEWOOD WITH CENTER MARQUETRY STRIP</t>
  </si>
  <si>
    <t>UNKNOWN (APPEARS TO BE MAHOGANY)</t>
  </si>
  <si>
    <t>N</t>
  </si>
  <si>
    <t>(YEARS OF MANUFACTURE ARE NOT KNOWN)</t>
  </si>
  <si>
    <t>NO PHOTO</t>
  </si>
  <si>
    <t>APPEARS TO BE SAME AS C-7</t>
  </si>
  <si>
    <r>
      <rPr>
        <b/>
        <i/>
        <sz val="10"/>
        <color theme="9" tint="-0.499984740745262"/>
        <rFont val="Arial"/>
        <family val="2"/>
      </rPr>
      <t>ROSETTES:</t>
    </r>
    <r>
      <rPr>
        <sz val="10"/>
        <color theme="9" tint="-0.499984740745262"/>
        <rFont val="Arial"/>
        <family val="2"/>
      </rPr>
      <t xml:space="preserve"> The primary method used to differentiate between classical models is the rosette. If you are unsure what a rosette is, it is the decorative marquetry that surrounds the sound hole of a guitar. Sometimes rosettes are simple black and white lines, but sometimes they are elaborate designs that are made out of wood.  On inexpensive guitars, rosettes may simply be decals. The only Conn model with a decal rosette is the F-2 series, which are composite-back guitars similar to the type of backs on Ovation brand guitars. All other Conn classical models have beautiful wood inlay rosettes. There is now a library of rosettes for classical guitars to assist owners with distinguishing one model from another.</t>
    </r>
  </si>
  <si>
    <t>Listings used to authenticate actual sale price may have
been removed, and no longer available at the site
on which they were originally listed. When they were
added to this spreadsheet, they were active listings.
This sheet has not been updated since about 11/2018.</t>
  </si>
  <si>
    <t>The original new selling price shown above is from year shown here         &gt;
(Click the year to see an original sales receipt from the original buyer.</t>
  </si>
  <si>
    <t>C
L
A
S
S
I
C
A
L
C
L
A
S
S
I
C
A
L
C
L
A
S
S
I
C
A
L</t>
  </si>
  <si>
    <r>
      <rPr>
        <b/>
        <sz val="9"/>
        <color rgb="FF0000FF"/>
        <rFont val="Arial"/>
        <family val="2"/>
      </rPr>
      <t>A</t>
    </r>
    <r>
      <rPr>
        <b/>
        <sz val="9"/>
        <rFont val="Arial"/>
        <family val="2"/>
      </rPr>
      <t xml:space="preserve"> E
</t>
    </r>
    <r>
      <rPr>
        <b/>
        <sz val="9"/>
        <color rgb="FF0000FF"/>
        <rFont val="Arial"/>
        <family val="2"/>
      </rPr>
      <t>C</t>
    </r>
    <r>
      <rPr>
        <b/>
        <sz val="9"/>
        <rFont val="Arial"/>
        <family val="2"/>
      </rPr>
      <t xml:space="preserve"> L
</t>
    </r>
    <r>
      <rPr>
        <b/>
        <sz val="9"/>
        <color rgb="FF0000FF"/>
        <rFont val="Arial"/>
        <family val="2"/>
      </rPr>
      <t>O</t>
    </r>
    <r>
      <rPr>
        <b/>
        <sz val="9"/>
        <rFont val="Arial"/>
        <family val="2"/>
      </rPr>
      <t xml:space="preserve"> E
</t>
    </r>
    <r>
      <rPr>
        <b/>
        <sz val="9"/>
        <color rgb="FF0000FF"/>
        <rFont val="Arial"/>
        <family val="2"/>
      </rPr>
      <t>U</t>
    </r>
    <r>
      <rPr>
        <b/>
        <sz val="9"/>
        <rFont val="Arial"/>
        <family val="2"/>
      </rPr>
      <t xml:space="preserve"> C
</t>
    </r>
    <r>
      <rPr>
        <b/>
        <sz val="9"/>
        <color rgb="FF0000FF"/>
        <rFont val="Arial"/>
        <family val="2"/>
      </rPr>
      <t>S</t>
    </r>
    <r>
      <rPr>
        <b/>
        <sz val="9"/>
        <rFont val="Arial"/>
        <family val="2"/>
      </rPr>
      <t xml:space="preserve"> E
 </t>
    </r>
    <r>
      <rPr>
        <b/>
        <sz val="9"/>
        <color rgb="FF0000FF"/>
        <rFont val="Arial"/>
        <family val="2"/>
      </rPr>
      <t>T</t>
    </r>
    <r>
      <rPr>
        <b/>
        <sz val="9"/>
        <rFont val="Arial"/>
        <family val="2"/>
      </rPr>
      <t xml:space="preserve"> C
</t>
    </r>
    <r>
      <rPr>
        <b/>
        <sz val="9"/>
        <color rgb="FF0000FF"/>
        <rFont val="Arial"/>
        <family val="2"/>
      </rPr>
      <t>I</t>
    </r>
    <r>
      <rPr>
        <b/>
        <sz val="9"/>
        <rFont val="Arial"/>
        <family val="2"/>
      </rPr>
      <t xml:space="preserve"> T
</t>
    </r>
    <r>
      <rPr>
        <b/>
        <sz val="9"/>
        <color rgb="FF0000FF"/>
        <rFont val="Arial"/>
        <family val="2"/>
      </rPr>
      <t>C</t>
    </r>
    <r>
      <rPr>
        <b/>
        <sz val="9"/>
        <rFont val="Arial"/>
        <family val="2"/>
      </rPr>
      <t xml:space="preserve"> R
   I
   C</t>
    </r>
  </si>
  <si>
    <t>G
R
A
N
D
A
U
D
I
T
O
R
I
U
M
A
N
D
D
R
E
A
D
N
O
U
G
H
T</t>
  </si>
  <si>
    <t>TWELVE STRING</t>
  </si>
  <si>
    <t>JAPAN / KOREA</t>
  </si>
  <si>
    <t>MODEL HAS A ZERO FRET AT NUT
PREDECESSOR TO THE LATER F-30
ALL DATA IS FROM THE SITE OWNER WHO OWNED A MODEL F-312</t>
  </si>
  <si>
    <t>SILVER - THREE ON A STRIP CLASSICAL</t>
  </si>
  <si>
    <t>NO PHOTO AVAILABLE</t>
  </si>
  <si>
    <t>(BUT IS THE SAME AS F-7)</t>
  </si>
  <si>
    <t xml:space="preserve"> TWELVE-STRING MODELS                                                           TWELVE-STRING MODELS</t>
  </si>
  <si>
    <t>SIX-STRING MODELS                                                                  SIX-STRING MODELS                                                                  SIX-STRING MODELS                                                                  SIX-STRING MODELS                                                                  SIX-STRING MODELS                                                                  SIX-STRING MODELS                                                                  SIX-STRING MODELS                                                                  SIX-STRING MODELS                                                                  SIX-STRING MODELS                                                                  SIX-STRING MODELS</t>
  </si>
  <si>
    <t>AS YOU WILL SEE BY VIEWING THIS SAMPLING OF STEEL-</t>
  </si>
  <si>
    <t>GO TO STATS</t>
  </si>
  <si>
    <t>STRING ROSETTES, CONN ACOUSTICS SHARE ABOUT</t>
  </si>
  <si>
    <t>F-25
Japan</t>
  </si>
  <si>
    <t>F-2/2A/2BE/2BES
 Korea</t>
  </si>
  <si>
    <t>F-5
 Japan/Korea</t>
  </si>
  <si>
    <t>F-7
 Korea</t>
  </si>
  <si>
    <t>F-8
 Korea</t>
  </si>
  <si>
    <t>F-9
 Japan</t>
  </si>
  <si>
    <t>F-11
 Japan</t>
  </si>
  <si>
    <t>F-18
 Japan</t>
  </si>
  <si>
    <t>F-23
 Japan</t>
  </si>
  <si>
    <t>F-28 
Japan</t>
  </si>
  <si>
    <t>F-29 
Japan</t>
  </si>
  <si>
    <t>F-31 
Japan</t>
  </si>
  <si>
    <t>F-33 
Japan</t>
  </si>
  <si>
    <t>F-35 
Japan</t>
  </si>
  <si>
    <t>F-60 
USA</t>
  </si>
  <si>
    <t>F-70 
USA</t>
  </si>
  <si>
    <t>F-1512
JAPAN</t>
  </si>
  <si>
    <t>F-2112
JAPAN</t>
  </si>
  <si>
    <t>F-2712
JAPAN/KOREA</t>
  </si>
  <si>
    <t>F-30
JAPAN</t>
  </si>
  <si>
    <t>F-312
JAPAN</t>
  </si>
  <si>
    <t>ROSETTE (Click Link to See Sample)</t>
  </si>
  <si>
    <t>C-7e
Japan</t>
  </si>
  <si>
    <t>JAPAN - KOREA</t>
  </si>
  <si>
    <t>3/4-SIZE 6-STRING ACOUSTIC</t>
  </si>
  <si>
    <t>JACARANDA</t>
  </si>
  <si>
    <r>
      <t xml:space="preserve">C-100
</t>
    </r>
    <r>
      <rPr>
        <b/>
        <sz val="10"/>
        <rFont val="Arial"/>
        <family val="2"/>
      </rPr>
      <t>STUDENT</t>
    </r>
  </si>
  <si>
    <t>F-8</t>
  </si>
  <si>
    <t>ALTERNATING MARQUETRY</t>
  </si>
  <si>
    <t>MOTHER OF PEARL</t>
  </si>
  <si>
    <t>F2/ F2A</t>
  </si>
  <si>
    <t>JAPAN/KOREA</t>
  </si>
  <si>
    <t>BWB RINGS</t>
  </si>
  <si>
    <t>HERRINGBONE &amp; BWB RINGS</t>
  </si>
  <si>
    <t>F-10 / F-100
 Japan</t>
  </si>
  <si>
    <t>Poor quality photo</t>
  </si>
  <si>
    <t>An updated im-</t>
  </si>
  <si>
    <t>proved quality photo</t>
  </si>
  <si>
    <t>is being sought out.</t>
  </si>
  <si>
    <t>F-20 / F-200
 Japan</t>
  </si>
  <si>
    <t>F-12
 Japan</t>
  </si>
  <si>
    <t>F-15/-15M
Japan</t>
  </si>
  <si>
    <t>F-21/-21SB
 Japan</t>
  </si>
  <si>
    <t>(BUT SAME AS F-15, -18, -20, -2112)</t>
  </si>
  <si>
    <t>F-27
Japan/Korea</t>
  </si>
  <si>
    <t>F-65
USA</t>
  </si>
  <si>
    <t>F-75
USA</t>
  </si>
  <si>
    <t>TWO or THREE ROSETTES. BUT SOME MODELS HAVE A UNIQUE ONE, LIKE THE MODEL F-9, F-12, F-28, F-33, F-35, F-60/-65 AND F-70/-75</t>
  </si>
  <si>
    <t>Updated with model G-100, other minor enhancements. Added rosette recognition tabs for classical guitars and steel string guitars.</t>
  </si>
  <si>
    <t>NO INVOICE TO SHOW</t>
  </si>
  <si>
    <t>PLAIN BLACK PLASTIC</t>
  </si>
  <si>
    <t>Uri-Bone (Synthetic</t>
  </si>
  <si>
    <t>SIMPLE WHITE DOT MARKERS</t>
  </si>
  <si>
    <t>INDIVIDUAL CLOSED GEAR</t>
  </si>
  <si>
    <t>NO DATA AVAILABLE.  MODEL NUMBER IS ONLY KNOW TO EXIST VIA SUBMITTAL BY OWNERS.-- SEE PHOTOS LINK.</t>
  </si>
  <si>
    <t>O</t>
  </si>
  <si>
    <t>?</t>
  </si>
  <si>
    <t>Misc Updates</t>
  </si>
  <si>
    <t>P</t>
  </si>
  <si>
    <t>Q</t>
  </si>
  <si>
    <t>Added additional data that was missing, based on photos and similar models.</t>
  </si>
  <si>
    <t>THREE ON A STRIP
(BOTH SIDES)</t>
  </si>
  <si>
    <t>SUPER DREADNOUGHT</t>
  </si>
  <si>
    <t>SUPER
DREADNOUGHT</t>
  </si>
  <si>
    <t>SUPER DREADNOUGHT
(CH=Chrome Hardware)</t>
  </si>
  <si>
    <t>SUPER DREADNOUGHT (SB=Sunburst)</t>
  </si>
  <si>
    <t>C.G.CONN'S CATALOG GUITARS STATS</t>
  </si>
  <si>
    <t>KNOWN CATALOG YEARS</t>
  </si>
  <si>
    <t>UNKNOWN MATERIAL (COMPOSITE?) BLACK</t>
  </si>
  <si>
    <t>GLOSS TOP</t>
  </si>
  <si>
    <t>F-40
Japan</t>
  </si>
  <si>
    <t>eBay Listing 394225492768</t>
  </si>
  <si>
    <t xml:space="preserve">                                SIX-STRING MODELS                                                                  SIX-STRING MODELS                                                                  SIX-STRING MODELS                                                                  SIX-STRING MODELS                                                                  SIX-STRING MODELS                                                                  SIX-STRING MODELS                                                                  SIX-STRING MODELS                                                                  SIX-STRING MODELS                                                                  SIX-STRING MODELS</t>
  </si>
  <si>
    <t>SOME ACOUSTICS SHARE THE SAME ROSETTE. BUT ALTHOUGH NOT COMMON, SOME ACOUSTICS (SAME MODEL) HAD DIFFERENT ROSETTES.</t>
  </si>
  <si>
    <t>(May be same as F-7 Korea)</t>
  </si>
  <si>
    <t>UNKNOWN (APPEARS FIGURED WOOD--PERHAPS JACARANDA)</t>
  </si>
  <si>
    <t>GLOSS</t>
  </si>
  <si>
    <t>DOUBLE STRIP</t>
  </si>
  <si>
    <t>FRET MARKERS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</si>
</sst>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quot;$&quot;#,##0"/>
    <numFmt numFmtId="165" formatCode="&quot;$&quot;#,##0.00"/>
    <numFmt numFmtId="166" formatCode="0.0"/>
  </numFmts>
  <fonts count="44" x14ac:knownFonts="1">
    <font>
      <sz val="10"/>
      <name val="Arial"/>
    </font>
    <font>
      <sz val="10"/>
      <name val="Arial"/>
      <family val="2"/>
    </font>
    <font>
      <sz val="8"/>
      <name val="Arial"/>
      <family val="2"/>
    </font>
    <font>
      <b/>
      <sz val="9"/>
      <name val="Arial"/>
      <family val="2"/>
    </font>
    <font>
      <b/>
      <sz val="10"/>
      <name val="Arial"/>
      <family val="2"/>
    </font>
    <font>
      <u/>
      <sz val="10"/>
      <color indexed="12"/>
      <name val="Arial"/>
      <family val="2"/>
    </font>
    <font>
      <b/>
      <i/>
      <sz val="18"/>
      <color indexed="10"/>
      <name val="Arial"/>
      <family val="2"/>
    </font>
    <font>
      <b/>
      <sz val="14"/>
      <name val="Arial"/>
      <family val="2"/>
    </font>
    <font>
      <b/>
      <i/>
      <sz val="10"/>
      <name val="Arial"/>
      <family val="2"/>
    </font>
    <font>
      <b/>
      <sz val="11"/>
      <name val="Arial"/>
      <family val="2"/>
    </font>
    <font>
      <b/>
      <i/>
      <sz val="12"/>
      <name val="Arial"/>
      <family val="2"/>
    </font>
    <font>
      <sz val="10"/>
      <color indexed="60"/>
      <name val="Arial"/>
      <family val="2"/>
    </font>
    <font>
      <b/>
      <i/>
      <sz val="10"/>
      <color indexed="60"/>
      <name val="Arial"/>
      <family val="2"/>
    </font>
    <font>
      <sz val="10"/>
      <name val="Calibri"/>
      <family val="2"/>
    </font>
    <font>
      <b/>
      <sz val="10"/>
      <name val="Calibri"/>
      <family val="2"/>
    </font>
    <font>
      <u/>
      <sz val="10"/>
      <color indexed="12"/>
      <name val="Calibri"/>
      <family val="2"/>
    </font>
    <font>
      <b/>
      <sz val="18"/>
      <name val="Calibri"/>
      <family val="2"/>
    </font>
    <font>
      <b/>
      <sz val="18"/>
      <color indexed="48"/>
      <name val="Calibri"/>
      <family val="2"/>
    </font>
    <font>
      <sz val="8"/>
      <name val="Calibri"/>
      <family val="2"/>
    </font>
    <font>
      <b/>
      <i/>
      <sz val="16"/>
      <color indexed="48"/>
      <name val="Calibri"/>
      <family val="2"/>
    </font>
    <font>
      <sz val="16"/>
      <name val="Arial"/>
      <family val="2"/>
    </font>
    <font>
      <b/>
      <u/>
      <sz val="10"/>
      <color indexed="12"/>
      <name val="Arial"/>
      <family val="2"/>
    </font>
    <font>
      <b/>
      <i/>
      <sz val="11"/>
      <color indexed="10"/>
      <name val="Arial"/>
      <family val="2"/>
    </font>
    <font>
      <sz val="11"/>
      <name val="Arial"/>
      <family val="2"/>
    </font>
    <font>
      <b/>
      <sz val="12"/>
      <name val="Arial"/>
      <family val="2"/>
    </font>
    <font>
      <sz val="9"/>
      <name val="Arial"/>
      <family val="2"/>
    </font>
    <font>
      <b/>
      <sz val="14"/>
      <name val="Calibri"/>
      <family val="2"/>
    </font>
    <font>
      <b/>
      <i/>
      <sz val="10"/>
      <color rgb="FF008000"/>
      <name val="Arial"/>
      <family val="2"/>
    </font>
    <font>
      <sz val="10"/>
      <color theme="9" tint="-0.499984740745262"/>
      <name val="Arial"/>
      <family val="2"/>
    </font>
    <font>
      <i/>
      <sz val="16"/>
      <color theme="9" tint="-0.499984740745262"/>
      <name val="Arial"/>
      <family val="2"/>
    </font>
    <font>
      <b/>
      <sz val="18"/>
      <color rgb="FF0033CC"/>
      <name val="Calibri"/>
      <family val="2"/>
    </font>
    <font>
      <b/>
      <sz val="12"/>
      <color rgb="FF0033CC"/>
      <name val="Calibri"/>
      <family val="2"/>
    </font>
    <font>
      <b/>
      <i/>
      <sz val="16"/>
      <color rgb="FF0070C0"/>
      <name val="Calibri"/>
      <family val="2"/>
    </font>
    <font>
      <b/>
      <i/>
      <sz val="10"/>
      <color theme="9" tint="-0.499984740745262"/>
      <name val="Arial"/>
      <family val="2"/>
    </font>
    <font>
      <i/>
      <sz val="12"/>
      <color rgb="FF0070C0"/>
      <name val="Calibri"/>
      <family val="2"/>
    </font>
    <font>
      <b/>
      <sz val="9"/>
      <color rgb="FF0000FF"/>
      <name val="Arial"/>
      <family val="2"/>
    </font>
    <font>
      <b/>
      <sz val="16"/>
      <color rgb="FF0000FF"/>
      <name val="Arial"/>
      <family val="2"/>
    </font>
    <font>
      <b/>
      <sz val="16"/>
      <color rgb="FF00B050"/>
      <name val="Arial"/>
      <family val="2"/>
    </font>
    <font>
      <sz val="11"/>
      <color rgb="FF00B050"/>
      <name val="Arial"/>
      <family val="2"/>
    </font>
    <font>
      <sz val="11"/>
      <color theme="0" tint="-0.34998626667073579"/>
      <name val="Arial"/>
      <family val="2"/>
    </font>
    <font>
      <b/>
      <sz val="10"/>
      <color indexed="12"/>
      <name val="Arial"/>
      <family val="2"/>
    </font>
    <font>
      <b/>
      <i/>
      <sz val="10"/>
      <color rgb="FF0000FF"/>
      <name val="Arial"/>
      <family val="2"/>
    </font>
    <font>
      <b/>
      <sz val="14"/>
      <color rgb="FF0000FF"/>
      <name val="Arial"/>
      <family val="2"/>
    </font>
    <font>
      <sz val="20"/>
      <name val="Arial"/>
      <family val="2"/>
    </font>
  </fonts>
  <fills count="21">
    <fill>
      <patternFill patternType="none"/>
    </fill>
    <fill>
      <patternFill patternType="gray125"/>
    </fill>
    <fill>
      <patternFill patternType="solid">
        <fgColor indexed="41"/>
        <bgColor indexed="64"/>
      </patternFill>
    </fill>
    <fill>
      <patternFill patternType="solid">
        <fgColor indexed="42"/>
        <bgColor indexed="64"/>
      </patternFill>
    </fill>
    <fill>
      <patternFill patternType="solid">
        <fgColor indexed="13"/>
        <bgColor indexed="64"/>
      </patternFill>
    </fill>
    <fill>
      <patternFill patternType="solid">
        <fgColor theme="9" tint="0.39997558519241921"/>
        <bgColor indexed="64"/>
      </patternFill>
    </fill>
    <fill>
      <patternFill patternType="solid">
        <fgColor theme="8" tint="0.59999389629810485"/>
        <bgColor indexed="64"/>
      </patternFill>
    </fill>
    <fill>
      <patternFill patternType="solid">
        <fgColor rgb="FFFFFF00"/>
        <bgColor indexed="64"/>
      </patternFill>
    </fill>
    <fill>
      <patternFill patternType="solid">
        <fgColor theme="9" tint="0.39994506668294322"/>
        <bgColor indexed="64"/>
      </patternFill>
    </fill>
    <fill>
      <patternFill patternType="solid">
        <fgColor rgb="FF00B0F0"/>
        <bgColor indexed="64"/>
      </patternFill>
    </fill>
    <fill>
      <patternFill patternType="solid">
        <fgColor rgb="FFCCFFCC"/>
        <bgColor indexed="64"/>
      </patternFill>
    </fill>
    <fill>
      <patternFill patternType="solid">
        <fgColor theme="6" tint="0.79998168889431442"/>
        <bgColor indexed="64"/>
      </patternFill>
    </fill>
    <fill>
      <patternFill patternType="solid">
        <fgColor theme="8" tint="0.39997558519241921"/>
        <bgColor indexed="64"/>
      </patternFill>
    </fill>
    <fill>
      <patternFill patternType="solid">
        <fgColor theme="8" tint="0.59996337778862885"/>
        <bgColor indexed="64"/>
      </patternFill>
    </fill>
    <fill>
      <patternFill patternType="solid">
        <fgColor theme="3" tint="0.79998168889431442"/>
        <bgColor indexed="64"/>
      </patternFill>
    </fill>
    <fill>
      <patternFill patternType="solid">
        <fgColor theme="8" tint="0.79998168889431442"/>
        <bgColor indexed="64"/>
      </patternFill>
    </fill>
    <fill>
      <patternFill patternType="solid">
        <fgColor theme="6" tint="0.59999389629810485"/>
        <bgColor indexed="64"/>
      </patternFill>
    </fill>
    <fill>
      <patternFill patternType="solid">
        <fgColor theme="0" tint="-0.499984740745262"/>
        <bgColor indexed="64"/>
      </patternFill>
    </fill>
    <fill>
      <patternFill patternType="solid">
        <fgColor rgb="FFCCFFFF"/>
        <bgColor indexed="64"/>
      </patternFill>
    </fill>
    <fill>
      <patternFill patternType="solid">
        <fgColor theme="9" tint="0.59999389629810485"/>
        <bgColor indexed="64"/>
      </patternFill>
    </fill>
    <fill>
      <patternFill patternType="solid">
        <fgColor rgb="FF66FF33"/>
        <bgColor indexed="64"/>
      </patternFill>
    </fill>
  </fills>
  <borders count="67">
    <border>
      <left/>
      <right/>
      <top/>
      <bottom/>
      <diagonal/>
    </border>
    <border>
      <left style="medium">
        <color indexed="64"/>
      </left>
      <right style="medium">
        <color indexed="64"/>
      </right>
      <top style="medium">
        <color indexed="64"/>
      </top>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diagonal/>
    </border>
    <border>
      <left/>
      <right style="medium">
        <color indexed="64"/>
      </right>
      <top style="medium">
        <color indexed="64"/>
      </top>
      <bottom/>
      <diagonal/>
    </border>
    <border>
      <left style="medium">
        <color indexed="64"/>
      </left>
      <right style="medium">
        <color indexed="64"/>
      </right>
      <top style="medium">
        <color indexed="64"/>
      </top>
      <bottom style="medium">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medium">
        <color indexed="64"/>
      </right>
      <top style="thin">
        <color indexed="64"/>
      </top>
      <bottom style="medium">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right style="thin">
        <color indexed="64"/>
      </right>
      <top style="thin">
        <color indexed="64"/>
      </top>
      <bottom/>
      <diagonal/>
    </border>
    <border>
      <left style="thin">
        <color indexed="64"/>
      </left>
      <right style="medium">
        <color indexed="64"/>
      </right>
      <top style="thin">
        <color indexed="64"/>
      </top>
      <bottom/>
      <diagonal/>
    </border>
    <border>
      <left/>
      <right style="thin">
        <color indexed="64"/>
      </right>
      <top style="medium">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right style="thin">
        <color indexed="64"/>
      </right>
      <top/>
      <bottom style="medium">
        <color indexed="64"/>
      </bottom>
      <diagonal/>
    </border>
    <border>
      <left/>
      <right style="medium">
        <color indexed="64"/>
      </right>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style="medium">
        <color indexed="64"/>
      </left>
      <right/>
      <top style="medium">
        <color indexed="64"/>
      </top>
      <bottom/>
      <diagonal/>
    </border>
    <border>
      <left style="medium">
        <color indexed="64"/>
      </left>
      <right style="thin">
        <color indexed="64"/>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bottom/>
      <diagonal/>
    </border>
    <border>
      <left style="medium">
        <color indexed="64"/>
      </left>
      <right style="medium">
        <color indexed="64"/>
      </right>
      <top/>
      <bottom/>
      <diagonal/>
    </border>
    <border>
      <left/>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medium">
        <color theme="9" tint="-0.499984740745262"/>
      </left>
      <right style="medium">
        <color theme="9" tint="-0.499984740745262"/>
      </right>
      <top style="medium">
        <color theme="9" tint="-0.499984740745262"/>
      </top>
      <bottom style="thin">
        <color theme="9" tint="-0.499984740745262"/>
      </bottom>
      <diagonal/>
    </border>
    <border>
      <left style="medium">
        <color theme="9" tint="-0.499984740745262"/>
      </left>
      <right style="medium">
        <color theme="9" tint="-0.499984740745262"/>
      </right>
      <top style="thin">
        <color theme="9" tint="-0.499984740745262"/>
      </top>
      <bottom style="thin">
        <color theme="9" tint="-0.499984740745262"/>
      </bottom>
      <diagonal/>
    </border>
    <border>
      <left style="medium">
        <color theme="9" tint="-0.499984740745262"/>
      </left>
      <right style="medium">
        <color theme="9" tint="-0.499984740745262"/>
      </right>
      <top style="thin">
        <color theme="9" tint="-0.499984740745262"/>
      </top>
      <bottom style="medium">
        <color theme="9" tint="-0.499984740745262"/>
      </bottom>
      <diagonal/>
    </border>
    <border>
      <left style="medium">
        <color theme="9" tint="-0.499984740745262"/>
      </left>
      <right style="medium">
        <color theme="9" tint="-0.499984740745262"/>
      </right>
      <top style="medium">
        <color theme="9" tint="-0.499984740745262"/>
      </top>
      <bottom style="medium">
        <color theme="9" tint="-0.499984740745262"/>
      </bottom>
      <diagonal/>
    </border>
    <border>
      <left style="medium">
        <color indexed="64"/>
      </left>
      <right/>
      <top/>
      <bottom style="medium">
        <color indexed="64"/>
      </bottom>
      <diagonal/>
    </border>
    <border>
      <left style="medium">
        <color indexed="64"/>
      </left>
      <right style="thin">
        <color indexed="64"/>
      </right>
      <top/>
      <bottom style="thin">
        <color indexed="64"/>
      </bottom>
      <diagonal/>
    </border>
    <border>
      <left/>
      <right/>
      <top style="medium">
        <color indexed="64"/>
      </top>
      <bottom/>
      <diagonal/>
    </border>
    <border>
      <left style="thin">
        <color indexed="64"/>
      </left>
      <right/>
      <top style="medium">
        <color indexed="64"/>
      </top>
      <bottom/>
      <diagonal/>
    </border>
    <border>
      <left style="thin">
        <color indexed="64"/>
      </left>
      <right/>
      <top/>
      <bottom style="thin">
        <color indexed="64"/>
      </bottom>
      <diagonal/>
    </border>
    <border>
      <left style="thin">
        <color indexed="64"/>
      </left>
      <right/>
      <top style="thin">
        <color indexed="64"/>
      </top>
      <bottom style="medium">
        <color indexed="64"/>
      </bottom>
      <diagonal/>
    </border>
    <border>
      <left style="thin">
        <color indexed="64"/>
      </left>
      <right/>
      <top style="medium">
        <color indexed="64"/>
      </top>
      <bottom style="thin">
        <color indexed="64"/>
      </bottom>
      <diagonal/>
    </border>
    <border>
      <left/>
      <right style="medium">
        <color indexed="64"/>
      </right>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diagonal/>
    </border>
    <border>
      <left/>
      <right style="medium">
        <color indexed="64"/>
      </right>
      <top style="thin">
        <color indexed="64"/>
      </top>
      <bottom/>
      <diagonal/>
    </border>
    <border>
      <left style="thick">
        <color rgb="FF0000FF"/>
      </left>
      <right/>
      <top style="thick">
        <color rgb="FF0000FF"/>
      </top>
      <bottom style="thick">
        <color rgb="FF0000FF"/>
      </bottom>
      <diagonal/>
    </border>
    <border>
      <left/>
      <right/>
      <top style="thick">
        <color rgb="FF0000FF"/>
      </top>
      <bottom style="thick">
        <color rgb="FF0000FF"/>
      </bottom>
      <diagonal/>
    </border>
    <border>
      <left/>
      <right style="thick">
        <color rgb="FF0000FF"/>
      </right>
      <top style="thick">
        <color rgb="FF0000FF"/>
      </top>
      <bottom style="thick">
        <color rgb="FF0000FF"/>
      </bottom>
      <diagonal/>
    </border>
  </borders>
  <cellStyleXfs count="2">
    <xf numFmtId="0" fontId="0" fillId="0" borderId="0"/>
    <xf numFmtId="0" fontId="5" fillId="0" borderId="0" applyNumberFormat="0" applyFill="0" applyBorder="0" applyAlignment="0" applyProtection="0">
      <alignment vertical="top"/>
      <protection locked="0"/>
    </xf>
  </cellStyleXfs>
  <cellXfs count="330">
    <xf numFmtId="0" fontId="0" fillId="0" borderId="0" xfId="0"/>
    <xf numFmtId="0" fontId="0" fillId="0" borderId="0" xfId="0" applyAlignment="1">
      <alignment horizontal="center" vertical="top" wrapText="1"/>
    </xf>
    <xf numFmtId="0" fontId="0" fillId="0" borderId="0" xfId="0" applyAlignment="1">
      <alignment horizontal="center" wrapText="1"/>
    </xf>
    <xf numFmtId="0" fontId="0" fillId="0" borderId="0" xfId="0" applyAlignment="1">
      <alignment horizontal="left" vertical="top" wrapText="1"/>
    </xf>
    <xf numFmtId="0" fontId="0" fillId="0" borderId="0" xfId="0" applyAlignment="1">
      <alignment vertical="top" wrapText="1"/>
    </xf>
    <xf numFmtId="0" fontId="4" fillId="0" borderId="0" xfId="0" applyFont="1" applyAlignment="1">
      <alignment horizontal="center" wrapText="1"/>
    </xf>
    <xf numFmtId="14" fontId="0" fillId="0" borderId="0" xfId="0" applyNumberFormat="1" applyAlignment="1">
      <alignment horizontal="center" vertical="top" wrapText="1"/>
    </xf>
    <xf numFmtId="0" fontId="7" fillId="0" borderId="2" xfId="0" applyFont="1" applyBorder="1" applyAlignment="1">
      <alignment horizontal="center" wrapText="1"/>
    </xf>
    <xf numFmtId="0" fontId="4" fillId="0" borderId="3" xfId="0" applyFont="1" applyBorder="1" applyAlignment="1">
      <alignment horizontal="center" wrapText="1"/>
    </xf>
    <xf numFmtId="0" fontId="4" fillId="0" borderId="4" xfId="0" applyFont="1" applyBorder="1" applyAlignment="1">
      <alignment horizontal="center" wrapText="1"/>
    </xf>
    <xf numFmtId="0" fontId="4" fillId="2" borderId="3" xfId="0" applyFont="1" applyFill="1" applyBorder="1" applyAlignment="1">
      <alignment horizontal="center" wrapText="1"/>
    </xf>
    <xf numFmtId="0" fontId="4" fillId="2" borderId="4" xfId="0" applyFont="1" applyFill="1" applyBorder="1" applyAlignment="1">
      <alignment horizontal="center" wrapText="1"/>
    </xf>
    <xf numFmtId="0" fontId="4" fillId="0" borderId="5" xfId="0" applyFont="1" applyBorder="1" applyAlignment="1">
      <alignment horizontal="center" wrapText="1"/>
    </xf>
    <xf numFmtId="0" fontId="4" fillId="3" borderId="2" xfId="0" applyFont="1" applyFill="1" applyBorder="1" applyAlignment="1">
      <alignment horizontal="center" wrapText="1"/>
    </xf>
    <xf numFmtId="0" fontId="4" fillId="3" borderId="3" xfId="0" applyFont="1" applyFill="1" applyBorder="1" applyAlignment="1">
      <alignment horizontal="center" wrapText="1"/>
    </xf>
    <xf numFmtId="0" fontId="4" fillId="3" borderId="4" xfId="0" applyFont="1" applyFill="1" applyBorder="1" applyAlignment="1">
      <alignment horizontal="center" wrapText="1"/>
    </xf>
    <xf numFmtId="0" fontId="4" fillId="3" borderId="6" xfId="0" applyFont="1" applyFill="1" applyBorder="1" applyAlignment="1">
      <alignment horizontal="center" wrapText="1"/>
    </xf>
    <xf numFmtId="0" fontId="27" fillId="0" borderId="0" xfId="0" applyFont="1" applyAlignment="1">
      <alignment horizontal="left" readingOrder="1"/>
    </xf>
    <xf numFmtId="0" fontId="5" fillId="0" borderId="0" xfId="1" applyAlignment="1" applyProtection="1">
      <alignment horizontal="center" vertical="top" wrapText="1"/>
    </xf>
    <xf numFmtId="0" fontId="8" fillId="0" borderId="0" xfId="0" applyFont="1" applyAlignment="1">
      <alignment horizontal="center" vertical="top" wrapText="1"/>
    </xf>
    <xf numFmtId="0" fontId="6" fillId="0" borderId="1" xfId="0" applyFont="1" applyBorder="1" applyAlignment="1">
      <alignment horizontal="center" vertical="top" wrapText="1"/>
    </xf>
    <xf numFmtId="0" fontId="10" fillId="5" borderId="7" xfId="0" applyFont="1" applyFill="1" applyBorder="1" applyAlignment="1">
      <alignment horizontal="center" vertical="center" wrapText="1"/>
    </xf>
    <xf numFmtId="0" fontId="10" fillId="6" borderId="7" xfId="0" applyFont="1" applyFill="1" applyBorder="1" applyAlignment="1">
      <alignment horizontal="center" vertical="center" wrapText="1"/>
    </xf>
    <xf numFmtId="0" fontId="1" fillId="2" borderId="9" xfId="0" applyFont="1" applyFill="1" applyBorder="1" applyAlignment="1">
      <alignment horizontal="center" vertical="top" wrapText="1"/>
    </xf>
    <xf numFmtId="166" fontId="0" fillId="3" borderId="10" xfId="0" quotePrefix="1" applyNumberFormat="1" applyFill="1" applyBorder="1" applyAlignment="1">
      <alignment horizontal="center" vertical="top" wrapText="1"/>
    </xf>
    <xf numFmtId="0" fontId="1" fillId="2" borderId="11" xfId="0" applyFont="1" applyFill="1" applyBorder="1" applyAlignment="1">
      <alignment horizontal="center" vertical="top" wrapText="1"/>
    </xf>
    <xf numFmtId="0" fontId="0" fillId="2" borderId="10" xfId="0" applyFill="1" applyBorder="1" applyAlignment="1">
      <alignment horizontal="center" vertical="top" wrapText="1"/>
    </xf>
    <xf numFmtId="0" fontId="0" fillId="2" borderId="11" xfId="0" applyFill="1" applyBorder="1" applyAlignment="1">
      <alignment horizontal="center" vertical="top" wrapText="1"/>
    </xf>
    <xf numFmtId="0" fontId="0" fillId="2" borderId="9" xfId="0" applyFill="1" applyBorder="1" applyAlignment="1">
      <alignment horizontal="center" vertical="top" wrapText="1"/>
    </xf>
    <xf numFmtId="0" fontId="0" fillId="0" borderId="10" xfId="0" applyBorder="1" applyAlignment="1">
      <alignment horizontal="center" vertical="top" wrapText="1"/>
    </xf>
    <xf numFmtId="0" fontId="0" fillId="0" borderId="11" xfId="0" applyBorder="1" applyAlignment="1">
      <alignment horizontal="center" vertical="top" wrapText="1"/>
    </xf>
    <xf numFmtId="0" fontId="0" fillId="0" borderId="9" xfId="0" applyBorder="1" applyAlignment="1">
      <alignment horizontal="center" vertical="top" wrapText="1"/>
    </xf>
    <xf numFmtId="0" fontId="0" fillId="3" borderId="11" xfId="0" applyFill="1" applyBorder="1" applyAlignment="1">
      <alignment horizontal="center" vertical="top" wrapText="1"/>
    </xf>
    <xf numFmtId="0" fontId="0" fillId="3" borderId="10" xfId="0" applyFill="1" applyBorder="1" applyAlignment="1">
      <alignment horizontal="center" vertical="top" wrapText="1"/>
    </xf>
    <xf numFmtId="0" fontId="0" fillId="3" borderId="9" xfId="0" applyFill="1" applyBorder="1" applyAlignment="1">
      <alignment horizontal="center" vertical="top" wrapText="1"/>
    </xf>
    <xf numFmtId="0" fontId="0" fillId="2" borderId="14" xfId="0" applyFill="1" applyBorder="1" applyAlignment="1">
      <alignment horizontal="center" vertical="top" wrapText="1"/>
    </xf>
    <xf numFmtId="0" fontId="0" fillId="0" borderId="15" xfId="0" applyBorder="1" applyAlignment="1">
      <alignment horizontal="center" vertical="top" wrapText="1"/>
    </xf>
    <xf numFmtId="0" fontId="0" fillId="2" borderId="15" xfId="0" applyFill="1" applyBorder="1" applyAlignment="1">
      <alignment horizontal="center" vertical="top" wrapText="1"/>
    </xf>
    <xf numFmtId="0" fontId="0" fillId="3" borderId="15" xfId="0" applyFill="1" applyBorder="1" applyAlignment="1">
      <alignment horizontal="center" vertical="top" wrapText="1"/>
    </xf>
    <xf numFmtId="0" fontId="0" fillId="4" borderId="10" xfId="0" applyFill="1" applyBorder="1" applyAlignment="1">
      <alignment horizontal="center" vertical="top" wrapText="1"/>
    </xf>
    <xf numFmtId="0" fontId="8" fillId="0" borderId="10" xfId="0" applyFont="1" applyBorder="1" applyAlignment="1">
      <alignment horizontal="center" vertical="top" wrapText="1"/>
    </xf>
    <xf numFmtId="0" fontId="8" fillId="4" borderId="10" xfId="0" applyFont="1" applyFill="1" applyBorder="1" applyAlignment="1">
      <alignment horizontal="center" vertical="top" wrapText="1"/>
    </xf>
    <xf numFmtId="166" fontId="0" fillId="3" borderId="11" xfId="0" applyNumberFormat="1" applyFill="1" applyBorder="1" applyAlignment="1">
      <alignment horizontal="center" vertical="top" wrapText="1"/>
    </xf>
    <xf numFmtId="166" fontId="0" fillId="3" borderId="10" xfId="0" applyNumberFormat="1" applyFill="1" applyBorder="1" applyAlignment="1">
      <alignment horizontal="center" vertical="top" wrapText="1"/>
    </xf>
    <xf numFmtId="166" fontId="0" fillId="3" borderId="9" xfId="0" applyNumberFormat="1" applyFill="1" applyBorder="1" applyAlignment="1">
      <alignment horizontal="center" vertical="top" wrapText="1"/>
    </xf>
    <xf numFmtId="166" fontId="0" fillId="3" borderId="15" xfId="0" applyNumberFormat="1" applyFill="1" applyBorder="1" applyAlignment="1">
      <alignment horizontal="center" vertical="top" wrapText="1"/>
    </xf>
    <xf numFmtId="0" fontId="1" fillId="2" borderId="10" xfId="0" applyFont="1" applyFill="1" applyBorder="1" applyAlignment="1">
      <alignment horizontal="center" vertical="top" wrapText="1"/>
    </xf>
    <xf numFmtId="0" fontId="1" fillId="0" borderId="10" xfId="0" applyFont="1" applyBorder="1" applyAlignment="1">
      <alignment horizontal="center" vertical="top" wrapText="1"/>
    </xf>
    <xf numFmtId="0" fontId="7" fillId="4" borderId="10" xfId="0" applyFont="1" applyFill="1" applyBorder="1" applyAlignment="1">
      <alignment horizontal="center" vertical="top" wrapText="1"/>
    </xf>
    <xf numFmtId="0" fontId="0" fillId="0" borderId="14" xfId="0" applyBorder="1" applyAlignment="1">
      <alignment horizontal="center" vertical="top" wrapText="1"/>
    </xf>
    <xf numFmtId="0" fontId="0" fillId="3" borderId="14" xfId="0" applyFill="1" applyBorder="1" applyAlignment="1">
      <alignment horizontal="center" vertical="top" wrapText="1"/>
    </xf>
    <xf numFmtId="166" fontId="0" fillId="3" borderId="14" xfId="0" applyNumberFormat="1" applyFill="1" applyBorder="1" applyAlignment="1">
      <alignment horizontal="center" vertical="top" wrapText="1"/>
    </xf>
    <xf numFmtId="0" fontId="1" fillId="2" borderId="15" xfId="0" applyFont="1" applyFill="1" applyBorder="1" applyAlignment="1">
      <alignment horizontal="center" vertical="top" wrapText="1"/>
    </xf>
    <xf numFmtId="0" fontId="28" fillId="0" borderId="46" xfId="0" applyFont="1" applyBorder="1" applyAlignment="1">
      <alignment horizontal="left" vertical="top" wrapText="1"/>
    </xf>
    <xf numFmtId="0" fontId="28" fillId="0" borderId="47" xfId="0" applyFont="1" applyBorder="1" applyAlignment="1">
      <alignment horizontal="left" vertical="top" wrapText="1"/>
    </xf>
    <xf numFmtId="0" fontId="28" fillId="0" borderId="48" xfId="0" applyFont="1" applyBorder="1" applyAlignment="1">
      <alignment horizontal="left" vertical="top" wrapText="1"/>
    </xf>
    <xf numFmtId="0" fontId="29" fillId="8" borderId="49" xfId="0" applyFont="1" applyFill="1" applyBorder="1" applyAlignment="1">
      <alignment horizontal="center" vertical="center" wrapText="1"/>
    </xf>
    <xf numFmtId="0" fontId="9" fillId="2" borderId="2" xfId="0" applyFont="1" applyFill="1" applyBorder="1" applyAlignment="1">
      <alignment horizontal="center" wrapText="1"/>
    </xf>
    <xf numFmtId="0" fontId="9" fillId="2" borderId="3" xfId="0" applyFont="1" applyFill="1" applyBorder="1" applyAlignment="1">
      <alignment horizontal="center" wrapText="1"/>
    </xf>
    <xf numFmtId="0" fontId="0" fillId="9" borderId="10" xfId="0" applyFill="1" applyBorder="1" applyAlignment="1">
      <alignment horizontal="center" vertical="top" wrapText="1"/>
    </xf>
    <xf numFmtId="0" fontId="0" fillId="0" borderId="10" xfId="0" applyBorder="1" applyAlignment="1">
      <alignment horizontal="center" vertical="center" wrapText="1"/>
    </xf>
    <xf numFmtId="0" fontId="0" fillId="0" borderId="0" xfId="0" applyAlignment="1">
      <alignment horizontal="center" vertical="center"/>
    </xf>
    <xf numFmtId="0" fontId="0" fillId="0" borderId="10" xfId="0" applyBorder="1" applyAlignment="1">
      <alignment horizontal="center" vertical="center"/>
    </xf>
    <xf numFmtId="166" fontId="0" fillId="10" borderId="10" xfId="0" applyNumberFormat="1" applyFill="1" applyBorder="1" applyAlignment="1">
      <alignment horizontal="center" vertical="top" wrapText="1"/>
    </xf>
    <xf numFmtId="0" fontId="0" fillId="10" borderId="10" xfId="0" applyFill="1" applyBorder="1" applyAlignment="1">
      <alignment horizontal="center" vertical="top" wrapText="1"/>
    </xf>
    <xf numFmtId="0" fontId="8" fillId="0" borderId="11" xfId="0" applyFont="1" applyBorder="1" applyAlignment="1">
      <alignment horizontal="center" vertical="top" wrapText="1"/>
    </xf>
    <xf numFmtId="0" fontId="7" fillId="0" borderId="10" xfId="0" applyFont="1" applyBorder="1" applyAlignment="1">
      <alignment horizontal="center" vertical="top" wrapText="1"/>
    </xf>
    <xf numFmtId="0" fontId="7" fillId="0" borderId="9" xfId="0" applyFont="1" applyBorder="1" applyAlignment="1">
      <alignment horizontal="center" vertical="top" wrapText="1"/>
    </xf>
    <xf numFmtId="0" fontId="8" fillId="0" borderId="9" xfId="0" applyFont="1" applyBorder="1" applyAlignment="1">
      <alignment horizontal="center" vertical="top" wrapText="1"/>
    </xf>
    <xf numFmtId="0" fontId="1" fillId="0" borderId="10" xfId="1" applyFont="1" applyFill="1" applyBorder="1" applyAlignment="1" applyProtection="1">
      <alignment horizontal="center" vertical="top" wrapText="1"/>
    </xf>
    <xf numFmtId="0" fontId="1" fillId="0" borderId="9" xfId="1" applyFont="1" applyFill="1" applyBorder="1" applyAlignment="1" applyProtection="1">
      <alignment horizontal="center" vertical="top" wrapText="1"/>
    </xf>
    <xf numFmtId="0" fontId="1" fillId="3" borderId="10" xfId="0" applyFont="1" applyFill="1" applyBorder="1" applyAlignment="1">
      <alignment horizontal="center" vertical="top" wrapText="1"/>
    </xf>
    <xf numFmtId="0" fontId="1" fillId="3" borderId="9" xfId="0" applyFont="1" applyFill="1" applyBorder="1" applyAlignment="1">
      <alignment horizontal="center" vertical="top" wrapText="1"/>
    </xf>
    <xf numFmtId="14" fontId="0" fillId="3" borderId="10" xfId="0" applyNumberFormat="1" applyFill="1" applyBorder="1" applyAlignment="1">
      <alignment horizontal="center" vertical="top" wrapText="1"/>
    </xf>
    <xf numFmtId="165" fontId="13" fillId="11" borderId="22" xfId="0" applyNumberFormat="1" applyFont="1" applyFill="1" applyBorder="1" applyAlignment="1">
      <alignment horizontal="center" vertical="top" wrapText="1"/>
    </xf>
    <xf numFmtId="0" fontId="13" fillId="0" borderId="0" xfId="0" applyFont="1"/>
    <xf numFmtId="0" fontId="13" fillId="0" borderId="23" xfId="0" applyFont="1" applyBorder="1" applyAlignment="1">
      <alignment horizontal="center" vertical="top" wrapText="1"/>
    </xf>
    <xf numFmtId="165" fontId="13" fillId="0" borderId="22" xfId="0" applyNumberFormat="1" applyFont="1" applyBorder="1" applyAlignment="1">
      <alignment horizontal="center" vertical="top" wrapText="1"/>
    </xf>
    <xf numFmtId="165" fontId="13" fillId="11" borderId="11" xfId="0" applyNumberFormat="1" applyFont="1" applyFill="1" applyBorder="1" applyAlignment="1">
      <alignment horizontal="center" vertical="top" wrapText="1"/>
    </xf>
    <xf numFmtId="165" fontId="13" fillId="0" borderId="11" xfId="0" applyNumberFormat="1" applyFont="1" applyBorder="1" applyAlignment="1">
      <alignment horizontal="center" vertical="top" wrapText="1"/>
    </xf>
    <xf numFmtId="165" fontId="13" fillId="0" borderId="12" xfId="0" applyNumberFormat="1" applyFont="1" applyBorder="1" applyAlignment="1">
      <alignment horizontal="center" vertical="top" wrapText="1"/>
    </xf>
    <xf numFmtId="0" fontId="13" fillId="0" borderId="0" xfId="0" applyFont="1" applyAlignment="1">
      <alignment horizontal="center" vertical="top" wrapText="1"/>
    </xf>
    <xf numFmtId="0" fontId="13" fillId="0" borderId="24" xfId="0" applyFont="1" applyBorder="1" applyAlignment="1">
      <alignment horizontal="center" vertical="top" wrapText="1"/>
    </xf>
    <xf numFmtId="164" fontId="13" fillId="11" borderId="25" xfId="0" applyNumberFormat="1" applyFont="1" applyFill="1" applyBorder="1" applyAlignment="1">
      <alignment horizontal="center" vertical="top" wrapText="1"/>
    </xf>
    <xf numFmtId="164" fontId="13" fillId="0" borderId="25" xfId="0" applyNumberFormat="1" applyFont="1" applyBorder="1" applyAlignment="1">
      <alignment horizontal="center" vertical="top" wrapText="1"/>
    </xf>
    <xf numFmtId="164" fontId="13" fillId="11" borderId="9" xfId="0" applyNumberFormat="1" applyFont="1" applyFill="1" applyBorder="1" applyAlignment="1">
      <alignment horizontal="center" vertical="top" wrapText="1"/>
    </xf>
    <xf numFmtId="164" fontId="13" fillId="0" borderId="9" xfId="0" applyNumberFormat="1" applyFont="1" applyBorder="1" applyAlignment="1">
      <alignment horizontal="center" vertical="top" wrapText="1"/>
    </xf>
    <xf numFmtId="164" fontId="15" fillId="0" borderId="9" xfId="1" applyNumberFormat="1" applyFont="1" applyBorder="1" applyAlignment="1" applyProtection="1">
      <alignment horizontal="center" vertical="top" wrapText="1"/>
    </xf>
    <xf numFmtId="164" fontId="13" fillId="0" borderId="16" xfId="0" applyNumberFormat="1" applyFont="1" applyBorder="1" applyAlignment="1">
      <alignment horizontal="center" vertical="top" wrapText="1"/>
    </xf>
    <xf numFmtId="0" fontId="13" fillId="0" borderId="26" xfId="0" applyFont="1" applyBorder="1" applyAlignment="1">
      <alignment horizontal="center" vertical="top" wrapText="1"/>
    </xf>
    <xf numFmtId="165" fontId="13" fillId="12" borderId="11" xfId="0" applyNumberFormat="1" applyFont="1" applyFill="1" applyBorder="1" applyAlignment="1">
      <alignment horizontal="center" vertical="top" wrapText="1"/>
    </xf>
    <xf numFmtId="164" fontId="13" fillId="12" borderId="9" xfId="0" applyNumberFormat="1" applyFont="1" applyFill="1" applyBorder="1" applyAlignment="1">
      <alignment horizontal="center" vertical="top" wrapText="1"/>
    </xf>
    <xf numFmtId="165" fontId="13" fillId="5" borderId="11" xfId="0" applyNumberFormat="1" applyFont="1" applyFill="1" applyBorder="1" applyAlignment="1">
      <alignment horizontal="center" vertical="top" wrapText="1"/>
    </xf>
    <xf numFmtId="164" fontId="13" fillId="5" borderId="9" xfId="0" applyNumberFormat="1" applyFont="1" applyFill="1" applyBorder="1" applyAlignment="1">
      <alignment horizontal="center" vertical="top" wrapText="1"/>
    </xf>
    <xf numFmtId="165" fontId="13" fillId="6" borderId="11" xfId="0" applyNumberFormat="1" applyFont="1" applyFill="1" applyBorder="1" applyAlignment="1">
      <alignment horizontal="center" vertical="top" wrapText="1"/>
    </xf>
    <xf numFmtId="164" fontId="13" fillId="6" borderId="9" xfId="0" applyNumberFormat="1" applyFont="1" applyFill="1" applyBorder="1" applyAlignment="1">
      <alignment horizontal="center" vertical="top" wrapText="1"/>
    </xf>
    <xf numFmtId="1" fontId="13" fillId="0" borderId="9" xfId="0" applyNumberFormat="1" applyFont="1" applyBorder="1" applyAlignment="1">
      <alignment horizontal="center" vertical="top" wrapText="1"/>
    </xf>
    <xf numFmtId="0" fontId="16" fillId="0" borderId="0" xfId="0" applyFont="1" applyAlignment="1">
      <alignment wrapText="1"/>
    </xf>
    <xf numFmtId="165" fontId="17" fillId="0" borderId="27" xfId="0" applyNumberFormat="1" applyFont="1" applyBorder="1" applyAlignment="1">
      <alignment horizontal="center" vertical="top" wrapText="1"/>
    </xf>
    <xf numFmtId="165" fontId="17" fillId="0" borderId="28" xfId="0" applyNumberFormat="1" applyFont="1" applyBorder="1" applyAlignment="1">
      <alignment horizontal="center" vertical="top" wrapText="1"/>
    </xf>
    <xf numFmtId="165" fontId="17" fillId="0" borderId="29" xfId="0" applyNumberFormat="1" applyFont="1" applyBorder="1" applyAlignment="1">
      <alignment horizontal="center" vertical="top" wrapText="1"/>
    </xf>
    <xf numFmtId="0" fontId="16" fillId="0" borderId="0" xfId="0" applyFont="1" applyAlignment="1">
      <alignment horizontal="center" vertical="top" wrapText="1"/>
    </xf>
    <xf numFmtId="0" fontId="13" fillId="0" borderId="0" xfId="0" applyFont="1" applyAlignment="1">
      <alignment horizontal="center" wrapText="1"/>
    </xf>
    <xf numFmtId="0" fontId="18" fillId="0" borderId="0" xfId="0" applyFont="1" applyAlignment="1">
      <alignment horizontal="center" vertical="top" wrapText="1"/>
    </xf>
    <xf numFmtId="0" fontId="19" fillId="0" borderId="30" xfId="0" applyFont="1" applyBorder="1" applyAlignment="1">
      <alignment horizontal="right" vertical="center" wrapText="1"/>
    </xf>
    <xf numFmtId="0" fontId="14" fillId="0" borderId="31" xfId="0" applyFont="1" applyBorder="1" applyAlignment="1">
      <alignment horizontal="center" wrapText="1"/>
    </xf>
    <xf numFmtId="0" fontId="14" fillId="0" borderId="7" xfId="0" applyFont="1" applyBorder="1" applyAlignment="1">
      <alignment horizontal="center" wrapText="1"/>
    </xf>
    <xf numFmtId="0" fontId="8" fillId="0" borderId="14" xfId="0" applyFont="1" applyBorder="1" applyAlignment="1">
      <alignment horizontal="center" vertical="top" wrapText="1"/>
    </xf>
    <xf numFmtId="0" fontId="7" fillId="4" borderId="22" xfId="0" applyFont="1" applyFill="1" applyBorder="1" applyAlignment="1">
      <alignment horizontal="center" vertical="top" wrapText="1"/>
    </xf>
    <xf numFmtId="0" fontId="7" fillId="4" borderId="33" xfId="0" applyFont="1" applyFill="1" applyBorder="1" applyAlignment="1">
      <alignment horizontal="center" vertical="top" wrapText="1"/>
    </xf>
    <xf numFmtId="0" fontId="7" fillId="4" borderId="25" xfId="0" applyFont="1" applyFill="1" applyBorder="1" applyAlignment="1">
      <alignment horizontal="center" vertical="top" wrapText="1"/>
    </xf>
    <xf numFmtId="165" fontId="13" fillId="13" borderId="11" xfId="0" applyNumberFormat="1" applyFont="1" applyFill="1" applyBorder="1" applyAlignment="1">
      <alignment horizontal="center" vertical="top" wrapText="1"/>
    </xf>
    <xf numFmtId="164" fontId="13" fillId="13" borderId="9" xfId="0" applyNumberFormat="1" applyFont="1" applyFill="1" applyBorder="1" applyAlignment="1">
      <alignment horizontal="center" vertical="top" wrapText="1"/>
    </xf>
    <xf numFmtId="0" fontId="14" fillId="0" borderId="34" xfId="0" applyFont="1" applyBorder="1" applyAlignment="1">
      <alignment horizontal="center" wrapText="1"/>
    </xf>
    <xf numFmtId="0" fontId="13" fillId="0" borderId="2" xfId="0" applyFont="1" applyBorder="1" applyAlignment="1">
      <alignment horizontal="center" vertical="top" wrapText="1"/>
    </xf>
    <xf numFmtId="0" fontId="13" fillId="0" borderId="5" xfId="0" applyFont="1" applyBorder="1" applyAlignment="1">
      <alignment horizontal="center" vertical="top" wrapText="1"/>
    </xf>
    <xf numFmtId="0" fontId="13" fillId="0" borderId="3" xfId="0" applyFont="1" applyBorder="1" applyAlignment="1">
      <alignment horizontal="center" vertical="top" wrapText="1"/>
    </xf>
    <xf numFmtId="0" fontId="13" fillId="0" borderId="4" xfId="0" applyFont="1" applyBorder="1" applyAlignment="1">
      <alignment horizontal="center" vertical="top" wrapText="1"/>
    </xf>
    <xf numFmtId="165" fontId="30" fillId="0" borderId="35" xfId="0" applyNumberFormat="1" applyFont="1" applyBorder="1" applyAlignment="1">
      <alignment horizontal="center" vertical="center" wrapText="1"/>
    </xf>
    <xf numFmtId="165" fontId="30" fillId="0" borderId="36" xfId="0" applyNumberFormat="1" applyFont="1" applyBorder="1" applyAlignment="1">
      <alignment horizontal="center" vertical="center" wrapText="1"/>
    </xf>
    <xf numFmtId="165" fontId="30" fillId="0" borderId="37" xfId="0" applyNumberFormat="1" applyFont="1" applyBorder="1" applyAlignment="1">
      <alignment horizontal="center" vertical="center" wrapText="1"/>
    </xf>
    <xf numFmtId="49" fontId="31" fillId="0" borderId="27" xfId="0" applyNumberFormat="1" applyFont="1" applyBorder="1" applyAlignment="1">
      <alignment horizontal="center" vertical="center" wrapText="1"/>
    </xf>
    <xf numFmtId="49" fontId="31" fillId="0" borderId="28" xfId="0" applyNumberFormat="1" applyFont="1" applyBorder="1" applyAlignment="1">
      <alignment horizontal="center" vertical="center" wrapText="1"/>
    </xf>
    <xf numFmtId="49" fontId="31" fillId="0" borderId="29" xfId="0" applyNumberFormat="1" applyFont="1" applyBorder="1" applyAlignment="1">
      <alignment horizontal="center" vertical="center" wrapText="1"/>
    </xf>
    <xf numFmtId="49" fontId="5" fillId="0" borderId="28" xfId="1" applyNumberFormat="1" applyBorder="1" applyAlignment="1" applyProtection="1">
      <alignment horizontal="center" vertical="center" wrapText="1"/>
    </xf>
    <xf numFmtId="0" fontId="20" fillId="0" borderId="0" xfId="0" applyFont="1"/>
    <xf numFmtId="49" fontId="21" fillId="0" borderId="28" xfId="1" applyNumberFormat="1" applyFont="1" applyBorder="1" applyAlignment="1" applyProtection="1">
      <alignment horizontal="center" vertical="center" wrapText="1"/>
    </xf>
    <xf numFmtId="0" fontId="32" fillId="14" borderId="31" xfId="0" applyFont="1" applyFill="1" applyBorder="1" applyAlignment="1">
      <alignment horizontal="right" vertical="center" wrapText="1"/>
    </xf>
    <xf numFmtId="0" fontId="23" fillId="0" borderId="0" xfId="0" applyFont="1" applyAlignment="1">
      <alignment horizontal="center" vertical="center"/>
    </xf>
    <xf numFmtId="0" fontId="23" fillId="0" borderId="39" xfId="0" applyFont="1" applyBorder="1" applyAlignment="1">
      <alignment horizontal="center" vertical="center"/>
    </xf>
    <xf numFmtId="0" fontId="9" fillId="0" borderId="39" xfId="0" applyFont="1" applyBorder="1" applyAlignment="1">
      <alignment horizontal="center" vertical="center"/>
    </xf>
    <xf numFmtId="0" fontId="2" fillId="0" borderId="39" xfId="0" applyFont="1" applyBorder="1" applyAlignment="1">
      <alignment horizontal="center" vertical="center"/>
    </xf>
    <xf numFmtId="0" fontId="23" fillId="0" borderId="43" xfId="0" applyFont="1" applyBorder="1" applyAlignment="1">
      <alignment horizontal="center" vertical="center"/>
    </xf>
    <xf numFmtId="0" fontId="23" fillId="0" borderId="38" xfId="0" applyFont="1" applyBorder="1" applyAlignment="1">
      <alignment horizontal="center" vertical="center"/>
    </xf>
    <xf numFmtId="0" fontId="2" fillId="0" borderId="38" xfId="0" applyFont="1" applyBorder="1" applyAlignment="1">
      <alignment horizontal="center" vertical="center"/>
    </xf>
    <xf numFmtId="0" fontId="23" fillId="0" borderId="50" xfId="0" applyFont="1" applyBorder="1" applyAlignment="1">
      <alignment horizontal="center" vertical="center"/>
    </xf>
    <xf numFmtId="0" fontId="5" fillId="0" borderId="43" xfId="1" applyBorder="1" applyAlignment="1" applyProtection="1">
      <alignment horizontal="center" vertical="center"/>
    </xf>
    <xf numFmtId="0" fontId="20" fillId="0" borderId="0" xfId="0" applyFont="1" applyProtection="1">
      <protection locked="0"/>
    </xf>
    <xf numFmtId="0" fontId="5" fillId="0" borderId="31" xfId="1" applyBorder="1" applyAlignment="1" applyProtection="1">
      <alignment horizontal="center" vertical="center" wrapText="1"/>
      <protection locked="0"/>
    </xf>
    <xf numFmtId="0" fontId="5" fillId="0" borderId="7" xfId="1" applyBorder="1" applyAlignment="1" applyProtection="1">
      <alignment horizontal="center" vertical="center" wrapText="1"/>
      <protection locked="0"/>
    </xf>
    <xf numFmtId="0" fontId="5" fillId="0" borderId="40" xfId="1" applyBorder="1" applyAlignment="1" applyProtection="1">
      <alignment horizontal="center" vertical="center" wrapText="1"/>
      <protection locked="0"/>
    </xf>
    <xf numFmtId="0" fontId="23" fillId="0" borderId="0" xfId="0" applyFont="1" applyAlignment="1" applyProtection="1">
      <alignment horizontal="center" vertical="center"/>
      <protection locked="0"/>
    </xf>
    <xf numFmtId="0" fontId="34" fillId="14" borderId="7" xfId="0" applyFont="1" applyFill="1" applyBorder="1" applyAlignment="1">
      <alignment horizontal="right" vertical="center" wrapText="1"/>
    </xf>
    <xf numFmtId="0" fontId="7" fillId="0" borderId="15" xfId="0" applyFont="1" applyBorder="1" applyAlignment="1">
      <alignment horizontal="center" vertical="top" wrapText="1"/>
    </xf>
    <xf numFmtId="0" fontId="8" fillId="0" borderId="15" xfId="0" applyFont="1" applyBorder="1" applyAlignment="1">
      <alignment horizontal="center" vertical="top" wrapText="1"/>
    </xf>
    <xf numFmtId="0" fontId="1" fillId="3" borderId="15" xfId="0" applyFont="1" applyFill="1" applyBorder="1" applyAlignment="1">
      <alignment horizontal="center" vertical="top" wrapText="1"/>
    </xf>
    <xf numFmtId="0" fontId="8" fillId="4" borderId="9" xfId="0" applyFont="1" applyFill="1" applyBorder="1" applyAlignment="1">
      <alignment horizontal="center" vertical="top" wrapText="1"/>
    </xf>
    <xf numFmtId="0" fontId="0" fillId="4" borderId="9" xfId="0" applyFill="1" applyBorder="1" applyAlignment="1">
      <alignment horizontal="center" vertical="top" wrapText="1"/>
    </xf>
    <xf numFmtId="0" fontId="5" fillId="4" borderId="10" xfId="1" applyFill="1" applyBorder="1" applyAlignment="1" applyProtection="1">
      <alignment horizontal="center" vertical="top" wrapText="1"/>
      <protection locked="0"/>
    </xf>
    <xf numFmtId="0" fontId="5" fillId="4" borderId="14" xfId="1" applyFill="1" applyBorder="1" applyAlignment="1" applyProtection="1">
      <alignment horizontal="center" vertical="top" wrapText="1"/>
      <protection locked="0"/>
    </xf>
    <xf numFmtId="0" fontId="5" fillId="4" borderId="9" xfId="1" applyFill="1" applyBorder="1" applyAlignment="1" applyProtection="1">
      <alignment horizontal="center" vertical="top" wrapText="1"/>
      <protection locked="0"/>
    </xf>
    <xf numFmtId="0" fontId="5" fillId="4" borderId="11" xfId="1" applyFill="1" applyBorder="1" applyAlignment="1" applyProtection="1">
      <alignment horizontal="center" vertical="top" wrapText="1"/>
      <protection locked="0"/>
    </xf>
    <xf numFmtId="0" fontId="24" fillId="0" borderId="0" xfId="0" applyFont="1" applyAlignment="1">
      <alignment horizontal="center" vertical="center"/>
    </xf>
    <xf numFmtId="0" fontId="2" fillId="0" borderId="0" xfId="0" applyFont="1" applyAlignment="1">
      <alignment horizontal="center" vertical="center"/>
    </xf>
    <xf numFmtId="0" fontId="5" fillId="0" borderId="0" xfId="1" applyBorder="1" applyAlignment="1" applyProtection="1">
      <alignment horizontal="center" vertical="center"/>
    </xf>
    <xf numFmtId="0" fontId="7" fillId="0" borderId="0" xfId="0" applyFont="1" applyAlignment="1">
      <alignment horizontal="center" vertical="center"/>
    </xf>
    <xf numFmtId="0" fontId="7" fillId="0" borderId="0" xfId="0" applyFont="1"/>
    <xf numFmtId="0" fontId="9" fillId="0" borderId="0" xfId="0" applyFont="1" applyAlignment="1">
      <alignment horizontal="center" vertical="center"/>
    </xf>
    <xf numFmtId="0" fontId="1" fillId="0" borderId="0" xfId="0" applyFont="1" applyAlignment="1">
      <alignment horizontal="center" vertical="center"/>
    </xf>
    <xf numFmtId="0" fontId="25" fillId="0" borderId="0" xfId="0" applyFont="1" applyAlignment="1">
      <alignment horizontal="center" vertical="center"/>
    </xf>
    <xf numFmtId="0" fontId="2" fillId="0" borderId="0" xfId="0" applyFont="1"/>
    <xf numFmtId="0" fontId="23" fillId="0" borderId="0" xfId="0" applyFont="1" applyAlignment="1">
      <alignment horizontal="center" vertical="center" wrapText="1"/>
    </xf>
    <xf numFmtId="0" fontId="0" fillId="0" borderId="0" xfId="0" applyAlignment="1">
      <alignment wrapText="1"/>
    </xf>
    <xf numFmtId="0" fontId="39" fillId="17" borderId="0" xfId="0" applyFont="1" applyFill="1" applyAlignment="1">
      <alignment horizontal="center" vertical="center"/>
    </xf>
    <xf numFmtId="0" fontId="26" fillId="6" borderId="1" xfId="0" applyFont="1" applyFill="1" applyBorder="1" applyAlignment="1">
      <alignment horizontal="center" vertical="center" wrapText="1"/>
    </xf>
    <xf numFmtId="0" fontId="26" fillId="16" borderId="34" xfId="0" applyFont="1" applyFill="1" applyBorder="1" applyAlignment="1">
      <alignment horizontal="center" vertical="center" wrapText="1"/>
    </xf>
    <xf numFmtId="0" fontId="26" fillId="16" borderId="1" xfId="0" applyFont="1" applyFill="1" applyBorder="1" applyAlignment="1">
      <alignment horizontal="center" vertical="center" wrapText="1"/>
    </xf>
    <xf numFmtId="0" fontId="26" fillId="16" borderId="52" xfId="0" applyFont="1" applyFill="1" applyBorder="1" applyAlignment="1">
      <alignment horizontal="center" vertical="center" wrapText="1"/>
    </xf>
    <xf numFmtId="0" fontId="40" fillId="0" borderId="38" xfId="1" applyFont="1" applyBorder="1" applyAlignment="1" applyProtection="1">
      <alignment horizontal="center" vertical="center" wrapText="1"/>
    </xf>
    <xf numFmtId="0" fontId="40" fillId="0" borderId="39" xfId="1" applyFont="1" applyBorder="1" applyAlignment="1" applyProtection="1">
      <alignment horizontal="center" vertical="center" wrapText="1"/>
    </xf>
    <xf numFmtId="0" fontId="40" fillId="0" borderId="0" xfId="1" applyFont="1" applyBorder="1" applyAlignment="1" applyProtection="1">
      <alignment horizontal="center" vertical="center" wrapText="1"/>
    </xf>
    <xf numFmtId="0" fontId="5" fillId="2" borderId="10" xfId="1" applyFill="1" applyBorder="1" applyAlignment="1" applyProtection="1">
      <alignment horizontal="center" vertical="top" wrapText="1"/>
    </xf>
    <xf numFmtId="0" fontId="5" fillId="2" borderId="15" xfId="1" applyFill="1" applyBorder="1" applyAlignment="1" applyProtection="1">
      <alignment horizontal="center" vertical="top" wrapText="1"/>
    </xf>
    <xf numFmtId="0" fontId="7" fillId="7" borderId="10" xfId="0" applyFont="1" applyFill="1" applyBorder="1" applyAlignment="1">
      <alignment horizontal="center" vertical="top" wrapText="1"/>
    </xf>
    <xf numFmtId="0" fontId="1" fillId="7" borderId="10" xfId="0" applyFont="1" applyFill="1" applyBorder="1" applyAlignment="1">
      <alignment horizontal="center" vertical="top" wrapText="1"/>
    </xf>
    <xf numFmtId="0" fontId="4" fillId="0" borderId="53" xfId="0" applyFont="1" applyBorder="1" applyAlignment="1">
      <alignment horizontal="center" wrapText="1"/>
    </xf>
    <xf numFmtId="0" fontId="0" fillId="0" borderId="44" xfId="0" applyBorder="1" applyAlignment="1">
      <alignment horizontal="center" vertical="top" wrapText="1"/>
    </xf>
    <xf numFmtId="0" fontId="1" fillId="0" borderId="44" xfId="0" applyFont="1" applyBorder="1" applyAlignment="1">
      <alignment horizontal="center" vertical="top" wrapText="1"/>
    </xf>
    <xf numFmtId="0" fontId="0" fillId="0" borderId="54" xfId="0" applyBorder="1" applyAlignment="1">
      <alignment horizontal="center" vertical="top" wrapText="1"/>
    </xf>
    <xf numFmtId="0" fontId="0" fillId="0" borderId="55" xfId="0" applyBorder="1" applyAlignment="1">
      <alignment horizontal="center" vertical="top" wrapText="1"/>
    </xf>
    <xf numFmtId="0" fontId="4" fillId="0" borderId="6" xfId="0" applyFont="1" applyBorder="1" applyAlignment="1">
      <alignment horizontal="center" wrapText="1"/>
    </xf>
    <xf numFmtId="0" fontId="0" fillId="0" borderId="8" xfId="0" applyBorder="1" applyAlignment="1">
      <alignment horizontal="center" vertical="top" wrapText="1"/>
    </xf>
    <xf numFmtId="0" fontId="1" fillId="7" borderId="8" xfId="0" applyFont="1" applyFill="1" applyBorder="1" applyAlignment="1">
      <alignment horizontal="center" vertical="top" wrapText="1"/>
    </xf>
    <xf numFmtId="0" fontId="0" fillId="4" borderId="8" xfId="0" applyFill="1" applyBorder="1" applyAlignment="1">
      <alignment horizontal="center" vertical="top" wrapText="1"/>
    </xf>
    <xf numFmtId="0" fontId="1" fillId="4" borderId="8" xfId="0" applyFont="1" applyFill="1" applyBorder="1" applyAlignment="1">
      <alignment horizontal="center" vertical="top" wrapText="1"/>
    </xf>
    <xf numFmtId="0" fontId="0" fillId="4" borderId="58" xfId="0" applyFill="1" applyBorder="1" applyAlignment="1">
      <alignment horizontal="center" vertical="top" wrapText="1"/>
    </xf>
    <xf numFmtId="0" fontId="0" fillId="0" borderId="58" xfId="0" applyBorder="1" applyAlignment="1">
      <alignment horizontal="center" vertical="top" wrapText="1"/>
    </xf>
    <xf numFmtId="0" fontId="0" fillId="0" borderId="57" xfId="0" applyBorder="1" applyAlignment="1">
      <alignment horizontal="center" vertical="top" wrapText="1"/>
    </xf>
    <xf numFmtId="0" fontId="1" fillId="7" borderId="58" xfId="0" applyFont="1" applyFill="1" applyBorder="1" applyAlignment="1">
      <alignment horizontal="center" vertical="top" wrapText="1"/>
    </xf>
    <xf numFmtId="0" fontId="0" fillId="0" borderId="59" xfId="0" applyBorder="1" applyAlignment="1">
      <alignment horizontal="center" vertical="top" wrapText="1"/>
    </xf>
    <xf numFmtId="0" fontId="0" fillId="3" borderId="33" xfId="0" applyFill="1" applyBorder="1" applyAlignment="1">
      <alignment horizontal="center" vertical="top" wrapText="1"/>
    </xf>
    <xf numFmtId="0" fontId="0" fillId="3" borderId="13" xfId="0" applyFill="1" applyBorder="1" applyAlignment="1">
      <alignment horizontal="center" vertical="top" wrapText="1"/>
    </xf>
    <xf numFmtId="0" fontId="0" fillId="3" borderId="18" xfId="0" applyFill="1" applyBorder="1" applyAlignment="1">
      <alignment horizontal="center" vertical="top" wrapText="1"/>
    </xf>
    <xf numFmtId="0" fontId="0" fillId="3" borderId="25" xfId="0" applyFill="1" applyBorder="1" applyAlignment="1">
      <alignment horizontal="center" vertical="top" wrapText="1"/>
    </xf>
    <xf numFmtId="0" fontId="0" fillId="3" borderId="16" xfId="0" applyFill="1" applyBorder="1" applyAlignment="1">
      <alignment horizontal="center" vertical="top" wrapText="1"/>
    </xf>
    <xf numFmtId="0" fontId="0" fillId="9" borderId="13" xfId="0" applyFill="1" applyBorder="1" applyAlignment="1">
      <alignment horizontal="center" vertical="top" wrapText="1"/>
    </xf>
    <xf numFmtId="0" fontId="0" fillId="3" borderId="22" xfId="0" applyFill="1" applyBorder="1" applyAlignment="1">
      <alignment horizontal="center" vertical="top" wrapText="1"/>
    </xf>
    <xf numFmtId="0" fontId="1" fillId="3" borderId="33" xfId="0" applyFont="1" applyFill="1" applyBorder="1" applyAlignment="1">
      <alignment horizontal="center" vertical="top" wrapText="1"/>
    </xf>
    <xf numFmtId="0" fontId="1" fillId="3" borderId="51" xfId="0" applyFont="1" applyFill="1" applyBorder="1" applyAlignment="1">
      <alignment horizontal="center" vertical="top" wrapText="1"/>
    </xf>
    <xf numFmtId="0" fontId="1" fillId="3" borderId="25" xfId="0" applyFont="1" applyFill="1" applyBorder="1" applyAlignment="1">
      <alignment horizontal="center" vertical="top" wrapText="1"/>
    </xf>
    <xf numFmtId="0" fontId="0" fillId="0" borderId="56" xfId="0" applyBorder="1" applyAlignment="1">
      <alignment horizontal="center" vertical="top" wrapText="1"/>
    </xf>
    <xf numFmtId="0" fontId="0" fillId="4" borderId="44" xfId="0" applyFill="1" applyBorder="1" applyAlignment="1">
      <alignment horizontal="center" vertical="top" wrapText="1"/>
    </xf>
    <xf numFmtId="0" fontId="0" fillId="4" borderId="55" xfId="0" applyFill="1" applyBorder="1" applyAlignment="1">
      <alignment horizontal="center" vertical="top" wrapText="1"/>
    </xf>
    <xf numFmtId="0" fontId="0" fillId="0" borderId="17" xfId="0" applyBorder="1" applyAlignment="1">
      <alignment horizontal="center" vertical="top" wrapText="1"/>
    </xf>
    <xf numFmtId="0" fontId="0" fillId="0" borderId="32" xfId="0" applyBorder="1" applyAlignment="1">
      <alignment horizontal="center" vertical="top" wrapText="1"/>
    </xf>
    <xf numFmtId="0" fontId="0" fillId="0" borderId="21" xfId="0" applyBorder="1" applyAlignment="1">
      <alignment horizontal="center" vertical="top" wrapText="1"/>
    </xf>
    <xf numFmtId="0" fontId="1" fillId="0" borderId="8" xfId="0" applyFont="1" applyBorder="1" applyAlignment="1">
      <alignment horizontal="center" vertical="top" wrapText="1"/>
    </xf>
    <xf numFmtId="0" fontId="1" fillId="2" borderId="33" xfId="0" applyFont="1" applyFill="1" applyBorder="1" applyAlignment="1">
      <alignment horizontal="center" vertical="top" wrapText="1"/>
    </xf>
    <xf numFmtId="0" fontId="0" fillId="2" borderId="13" xfId="0" applyFill="1" applyBorder="1" applyAlignment="1">
      <alignment horizontal="center" vertical="top" wrapText="1"/>
    </xf>
    <xf numFmtId="0" fontId="0" fillId="2" borderId="33" xfId="0" applyFill="1" applyBorder="1" applyAlignment="1">
      <alignment horizontal="center" vertical="top" wrapText="1"/>
    </xf>
    <xf numFmtId="0" fontId="0" fillId="2" borderId="18" xfId="0" applyFill="1" applyBorder="1" applyAlignment="1">
      <alignment horizontal="center" vertical="top" wrapText="1"/>
    </xf>
    <xf numFmtId="0" fontId="0" fillId="2" borderId="16" xfId="0" applyFill="1" applyBorder="1" applyAlignment="1">
      <alignment horizontal="center" vertical="top" wrapText="1"/>
    </xf>
    <xf numFmtId="0" fontId="1" fillId="2" borderId="51" xfId="0" applyFont="1" applyFill="1" applyBorder="1" applyAlignment="1">
      <alignment horizontal="center" vertical="top" wrapText="1"/>
    </xf>
    <xf numFmtId="0" fontId="1" fillId="2" borderId="25" xfId="0" applyFont="1" applyFill="1" applyBorder="1" applyAlignment="1">
      <alignment horizontal="center" vertical="top" wrapText="1"/>
    </xf>
    <xf numFmtId="0" fontId="1" fillId="2" borderId="22" xfId="0" applyFont="1" applyFill="1" applyBorder="1" applyAlignment="1">
      <alignment horizontal="center" vertical="top" wrapText="1"/>
    </xf>
    <xf numFmtId="0" fontId="0" fillId="2" borderId="12" xfId="0" applyFill="1" applyBorder="1" applyAlignment="1">
      <alignment horizontal="center" vertical="top" wrapText="1"/>
    </xf>
    <xf numFmtId="0" fontId="0" fillId="0" borderId="62" xfId="0" applyBorder="1" applyAlignment="1">
      <alignment horizontal="center" vertical="top" wrapText="1"/>
    </xf>
    <xf numFmtId="0" fontId="0" fillId="7" borderId="10" xfId="0" applyFill="1" applyBorder="1" applyAlignment="1">
      <alignment horizontal="center" vertical="top" wrapText="1"/>
    </xf>
    <xf numFmtId="0" fontId="7" fillId="7" borderId="33" xfId="0" applyFont="1" applyFill="1" applyBorder="1" applyAlignment="1">
      <alignment horizontal="center" vertical="top" wrapText="1"/>
    </xf>
    <xf numFmtId="0" fontId="7" fillId="0" borderId="33" xfId="0" applyFont="1" applyBorder="1" applyAlignment="1">
      <alignment horizontal="center" vertical="top" wrapText="1"/>
    </xf>
    <xf numFmtId="0" fontId="0" fillId="2" borderId="8" xfId="0" applyFill="1" applyBorder="1" applyAlignment="1">
      <alignment horizontal="center" vertical="top" wrapText="1"/>
    </xf>
    <xf numFmtId="0" fontId="7" fillId="4" borderId="14" xfId="0" applyFont="1" applyFill="1" applyBorder="1" applyAlignment="1">
      <alignment horizontal="center" vertical="top" wrapText="1"/>
    </xf>
    <xf numFmtId="0" fontId="0" fillId="2" borderId="61" xfId="0" applyFill="1" applyBorder="1" applyAlignment="1">
      <alignment horizontal="center" vertical="top" wrapText="1"/>
    </xf>
    <xf numFmtId="0" fontId="0" fillId="2" borderId="20" xfId="0" applyFill="1" applyBorder="1" applyAlignment="1">
      <alignment horizontal="center" vertical="top" wrapText="1"/>
    </xf>
    <xf numFmtId="0" fontId="0" fillId="0" borderId="19" xfId="0" applyBorder="1" applyAlignment="1">
      <alignment horizontal="center" vertical="top" wrapText="1"/>
    </xf>
    <xf numFmtId="0" fontId="0" fillId="3" borderId="61" xfId="0" applyFill="1" applyBorder="1" applyAlignment="1">
      <alignment horizontal="center" vertical="top" wrapText="1"/>
    </xf>
    <xf numFmtId="0" fontId="0" fillId="3" borderId="20" xfId="0" applyFill="1" applyBorder="1" applyAlignment="1">
      <alignment horizontal="center" vertical="top" wrapText="1"/>
    </xf>
    <xf numFmtId="0" fontId="0" fillId="4" borderId="19" xfId="0" applyFill="1" applyBorder="1" applyAlignment="1">
      <alignment horizontal="center" vertical="top" wrapText="1"/>
    </xf>
    <xf numFmtId="0" fontId="0" fillId="2" borderId="21" xfId="0" applyFill="1" applyBorder="1" applyAlignment="1">
      <alignment horizontal="center" vertical="top" wrapText="1"/>
    </xf>
    <xf numFmtId="0" fontId="0" fillId="3" borderId="12" xfId="0" applyFill="1" applyBorder="1" applyAlignment="1">
      <alignment horizontal="center" vertical="top" wrapText="1"/>
    </xf>
    <xf numFmtId="0" fontId="0" fillId="4" borderId="60" xfId="0" applyFill="1" applyBorder="1" applyAlignment="1">
      <alignment horizontal="center" vertical="top" wrapText="1"/>
    </xf>
    <xf numFmtId="0" fontId="7" fillId="0" borderId="1" xfId="0" applyFont="1" applyBorder="1" applyAlignment="1">
      <alignment horizontal="center" vertical="center"/>
    </xf>
    <xf numFmtId="0" fontId="2" fillId="0" borderId="39" xfId="0" applyFont="1" applyBorder="1" applyAlignment="1">
      <alignment horizontal="center" vertical="center" wrapText="1"/>
    </xf>
    <xf numFmtId="0" fontId="3" fillId="15" borderId="1" xfId="0" applyFont="1" applyFill="1" applyBorder="1" applyAlignment="1">
      <alignment horizontal="center" vertical="center"/>
    </xf>
    <xf numFmtId="0" fontId="3" fillId="15" borderId="39" xfId="0" applyFont="1" applyFill="1" applyBorder="1" applyAlignment="1">
      <alignment horizontal="center" vertical="center"/>
    </xf>
    <xf numFmtId="0" fontId="3" fillId="15" borderId="43" xfId="0" applyFont="1" applyFill="1" applyBorder="1" applyAlignment="1">
      <alignment horizontal="center" vertical="center"/>
    </xf>
    <xf numFmtId="0" fontId="1" fillId="14" borderId="1" xfId="0" applyFont="1" applyFill="1" applyBorder="1" applyAlignment="1">
      <alignment horizontal="left" vertical="top" wrapText="1"/>
    </xf>
    <xf numFmtId="0" fontId="1" fillId="14" borderId="39" xfId="0" applyFont="1" applyFill="1" applyBorder="1" applyAlignment="1">
      <alignment horizontal="left" vertical="center" wrapText="1"/>
    </xf>
    <xf numFmtId="0" fontId="1" fillId="14" borderId="43" xfId="0" applyFont="1" applyFill="1" applyBorder="1" applyAlignment="1">
      <alignment horizontal="left" vertical="top" wrapText="1"/>
    </xf>
    <xf numFmtId="0" fontId="0" fillId="18" borderId="10" xfId="0" applyFill="1" applyBorder="1" applyAlignment="1">
      <alignment horizontal="center" vertical="top" wrapText="1"/>
    </xf>
    <xf numFmtId="0" fontId="5" fillId="18" borderId="10" xfId="1" applyFill="1" applyBorder="1" applyAlignment="1" applyProtection="1">
      <alignment horizontal="center" vertical="top" wrapText="1"/>
    </xf>
    <xf numFmtId="0" fontId="0" fillId="18" borderId="0" xfId="0" applyFill="1" applyAlignment="1">
      <alignment horizontal="center" vertical="center"/>
    </xf>
    <xf numFmtId="0" fontId="0" fillId="18" borderId="9" xfId="0" applyFill="1" applyBorder="1" applyAlignment="1">
      <alignment horizontal="center" vertical="top" wrapText="1"/>
    </xf>
    <xf numFmtId="0" fontId="0" fillId="18" borderId="26" xfId="0" applyFill="1" applyBorder="1" applyAlignment="1">
      <alignment horizontal="center" vertical="top" wrapText="1"/>
    </xf>
    <xf numFmtId="0" fontId="1" fillId="18" borderId="26" xfId="0" applyFont="1" applyFill="1" applyBorder="1" applyAlignment="1">
      <alignment horizontal="center" vertical="top" wrapText="1"/>
    </xf>
    <xf numFmtId="0" fontId="0" fillId="18" borderId="24" xfId="0" applyFill="1" applyBorder="1" applyAlignment="1">
      <alignment horizontal="center" vertical="top" wrapText="1"/>
    </xf>
    <xf numFmtId="0" fontId="0" fillId="18" borderId="30" xfId="0" applyFill="1" applyBorder="1" applyAlignment="1">
      <alignment horizontal="center" vertical="top" wrapText="1"/>
    </xf>
    <xf numFmtId="0" fontId="4" fillId="18" borderId="31" xfId="0" applyFont="1" applyFill="1" applyBorder="1" applyAlignment="1">
      <alignment horizontal="center" wrapText="1"/>
    </xf>
    <xf numFmtId="0" fontId="0" fillId="0" borderId="57" xfId="0" applyBorder="1" applyAlignment="1">
      <alignment vertical="top" wrapText="1"/>
    </xf>
    <xf numFmtId="0" fontId="0" fillId="0" borderId="58" xfId="0" applyBorder="1" applyAlignment="1">
      <alignment vertical="top" wrapText="1"/>
    </xf>
    <xf numFmtId="0" fontId="1" fillId="0" borderId="58" xfId="0" applyFont="1" applyBorder="1" applyAlignment="1">
      <alignment vertical="top" wrapText="1"/>
    </xf>
    <xf numFmtId="0" fontId="0" fillId="0" borderId="59" xfId="0" applyBorder="1" applyAlignment="1">
      <alignment vertical="top" wrapText="1"/>
    </xf>
    <xf numFmtId="14" fontId="0" fillId="0" borderId="30" xfId="0" applyNumberFormat="1" applyBorder="1" applyAlignment="1">
      <alignment horizontal="center" vertical="top" wrapText="1"/>
    </xf>
    <xf numFmtId="14" fontId="0" fillId="0" borderId="26" xfId="0" applyNumberFormat="1" applyBorder="1" applyAlignment="1">
      <alignment horizontal="center" vertical="top" wrapText="1"/>
    </xf>
    <xf numFmtId="14" fontId="0" fillId="0" borderId="24" xfId="0" applyNumberFormat="1" applyBorder="1" applyAlignment="1">
      <alignment horizontal="center" vertical="top" wrapText="1"/>
    </xf>
    <xf numFmtId="0" fontId="4" fillId="19" borderId="7" xfId="0" applyFont="1" applyFill="1" applyBorder="1" applyAlignment="1">
      <alignment horizontal="center" wrapText="1"/>
    </xf>
    <xf numFmtId="0" fontId="4" fillId="19" borderId="37" xfId="0" applyFont="1" applyFill="1" applyBorder="1" applyAlignment="1">
      <alignment horizontal="center" wrapText="1"/>
    </xf>
    <xf numFmtId="0" fontId="41" fillId="0" borderId="15" xfId="0" applyFont="1" applyBorder="1" applyAlignment="1">
      <alignment horizontal="center" vertical="top"/>
    </xf>
    <xf numFmtId="0" fontId="5" fillId="0" borderId="7" xfId="1" applyBorder="1" applyAlignment="1" applyProtection="1">
      <alignment horizontal="center" wrapText="1"/>
      <protection locked="0"/>
    </xf>
    <xf numFmtId="0" fontId="1" fillId="0" borderId="15" xfId="0" applyFont="1" applyBorder="1" applyAlignment="1">
      <alignment horizontal="center" vertical="top"/>
    </xf>
    <xf numFmtId="14" fontId="1" fillId="0" borderId="26" xfId="0" applyNumberFormat="1" applyFont="1" applyBorder="1" applyAlignment="1">
      <alignment horizontal="center" vertical="top" wrapText="1"/>
    </xf>
    <xf numFmtId="0" fontId="1" fillId="0" borderId="0" xfId="1" applyFont="1" applyFill="1" applyBorder="1" applyAlignment="1" applyProtection="1">
      <alignment horizontal="center" vertical="top" wrapText="1"/>
    </xf>
    <xf numFmtId="0" fontId="0" fillId="18" borderId="15" xfId="0" applyFill="1" applyBorder="1" applyAlignment="1">
      <alignment horizontal="center" vertical="top" wrapText="1"/>
    </xf>
    <xf numFmtId="0" fontId="1" fillId="0" borderId="56" xfId="0" applyFont="1" applyBorder="1" applyAlignment="1">
      <alignment horizontal="center" vertical="top" wrapText="1"/>
    </xf>
    <xf numFmtId="0" fontId="0" fillId="2" borderId="19" xfId="0" applyFill="1" applyBorder="1" applyAlignment="1">
      <alignment horizontal="center" vertical="top" wrapText="1"/>
    </xf>
    <xf numFmtId="0" fontId="0" fillId="2" borderId="56" xfId="0" applyFill="1" applyBorder="1" applyAlignment="1">
      <alignment horizontal="center" vertical="top" wrapText="1"/>
    </xf>
    <xf numFmtId="0" fontId="1" fillId="2" borderId="44" xfId="0" applyFont="1" applyFill="1" applyBorder="1" applyAlignment="1">
      <alignment horizontal="center" vertical="top" wrapText="1"/>
    </xf>
    <xf numFmtId="0" fontId="0" fillId="2" borderId="44" xfId="0" applyFill="1" applyBorder="1" applyAlignment="1">
      <alignment horizontal="center" vertical="top" wrapText="1"/>
    </xf>
    <xf numFmtId="0" fontId="0" fillId="2" borderId="55" xfId="0" applyFill="1" applyBorder="1" applyAlignment="1">
      <alignment horizontal="center" vertical="top" wrapText="1"/>
    </xf>
    <xf numFmtId="0" fontId="0" fillId="0" borderId="22" xfId="0" applyBorder="1" applyAlignment="1">
      <alignment horizontal="center" vertical="top" wrapText="1"/>
    </xf>
    <xf numFmtId="0" fontId="1" fillId="0" borderId="33" xfId="0" applyFont="1" applyBorder="1" applyAlignment="1">
      <alignment horizontal="center" vertical="top" wrapText="1"/>
    </xf>
    <xf numFmtId="0" fontId="0" fillId="0" borderId="33" xfId="0" applyBorder="1" applyAlignment="1">
      <alignment horizontal="center" vertical="top" wrapText="1"/>
    </xf>
    <xf numFmtId="0" fontId="0" fillId="0" borderId="25" xfId="0" applyBorder="1" applyAlignment="1">
      <alignment horizontal="center" vertical="top" wrapText="1"/>
    </xf>
    <xf numFmtId="0" fontId="0" fillId="9" borderId="56" xfId="0" applyFill="1" applyBorder="1" applyAlignment="1">
      <alignment horizontal="center" vertical="top" wrapText="1"/>
    </xf>
    <xf numFmtId="0" fontId="0" fillId="3" borderId="44" xfId="0" applyFill="1" applyBorder="1" applyAlignment="1">
      <alignment horizontal="center" vertical="top" wrapText="1"/>
    </xf>
    <xf numFmtId="0" fontId="0" fillId="9" borderId="44" xfId="0" applyFill="1" applyBorder="1" applyAlignment="1">
      <alignment horizontal="center" vertical="top" wrapText="1"/>
    </xf>
    <xf numFmtId="0" fontId="0" fillId="10" borderId="44" xfId="0" applyFill="1" applyBorder="1" applyAlignment="1">
      <alignment horizontal="center" vertical="top" wrapText="1"/>
    </xf>
    <xf numFmtId="0" fontId="0" fillId="3" borderId="55" xfId="0" applyFill="1" applyBorder="1" applyAlignment="1">
      <alignment horizontal="center" vertical="top" wrapText="1"/>
    </xf>
    <xf numFmtId="0" fontId="0" fillId="4" borderId="63" xfId="0" applyFill="1" applyBorder="1" applyAlignment="1">
      <alignment horizontal="center" vertical="top" wrapText="1"/>
    </xf>
    <xf numFmtId="0" fontId="0" fillId="0" borderId="23" xfId="0" applyBorder="1" applyAlignment="1">
      <alignment horizontal="center" vertical="top" wrapText="1"/>
    </xf>
    <xf numFmtId="0" fontId="1" fillId="4" borderId="26" xfId="0" applyFont="1" applyFill="1" applyBorder="1" applyAlignment="1">
      <alignment horizontal="center" vertical="top" wrapText="1"/>
    </xf>
    <xf numFmtId="0" fontId="0" fillId="4" borderId="26" xfId="0" applyFill="1" applyBorder="1" applyAlignment="1">
      <alignment horizontal="center" vertical="top" wrapText="1"/>
    </xf>
    <xf numFmtId="0" fontId="0" fillId="0" borderId="26" xfId="0" applyBorder="1" applyAlignment="1">
      <alignment horizontal="center" vertical="top" wrapText="1"/>
    </xf>
    <xf numFmtId="0" fontId="0" fillId="4" borderId="24" xfId="0" applyFill="1" applyBorder="1" applyAlignment="1">
      <alignment horizontal="center" vertical="top" wrapText="1"/>
    </xf>
    <xf numFmtId="0" fontId="7" fillId="20" borderId="33" xfId="0" applyFont="1" applyFill="1" applyBorder="1" applyAlignment="1">
      <alignment horizontal="center" vertical="top" wrapText="1"/>
    </xf>
    <xf numFmtId="0" fontId="7" fillId="20" borderId="22" xfId="0" applyFont="1" applyFill="1" applyBorder="1" applyAlignment="1">
      <alignment horizontal="center" vertical="top" wrapText="1"/>
    </xf>
    <xf numFmtId="0" fontId="7" fillId="20" borderId="10" xfId="0" applyFont="1" applyFill="1" applyBorder="1" applyAlignment="1">
      <alignment horizontal="center" vertical="top" wrapText="1"/>
    </xf>
    <xf numFmtId="0" fontId="1" fillId="2" borderId="14" xfId="0" applyFont="1" applyFill="1" applyBorder="1" applyAlignment="1">
      <alignment horizontal="center" vertical="top" wrapText="1"/>
    </xf>
    <xf numFmtId="0" fontId="1" fillId="0" borderId="12" xfId="0" applyFont="1" applyBorder="1" applyAlignment="1">
      <alignment horizontal="center" vertical="top" wrapText="1"/>
    </xf>
    <xf numFmtId="0" fontId="1" fillId="0" borderId="13" xfId="0" applyFont="1" applyBorder="1" applyAlignment="1">
      <alignment horizontal="center" vertical="top" wrapText="1"/>
    </xf>
    <xf numFmtId="0" fontId="1" fillId="0" borderId="16" xfId="0" applyFont="1" applyBorder="1" applyAlignment="1">
      <alignment horizontal="center" vertical="top" wrapText="1"/>
    </xf>
    <xf numFmtId="0" fontId="0" fillId="0" borderId="0" xfId="0" applyAlignment="1">
      <alignment vertical="center"/>
    </xf>
    <xf numFmtId="0" fontId="43" fillId="0" borderId="0" xfId="0" applyFont="1" applyAlignment="1">
      <alignment horizontal="center" vertical="center"/>
    </xf>
    <xf numFmtId="0" fontId="36" fillId="6" borderId="34" xfId="0" applyFont="1" applyFill="1" applyBorder="1" applyAlignment="1">
      <alignment horizontal="center" vertical="center"/>
    </xf>
    <xf numFmtId="0" fontId="36" fillId="6" borderId="52" xfId="0" applyFont="1" applyFill="1" applyBorder="1" applyAlignment="1">
      <alignment horizontal="center" vertical="center"/>
    </xf>
    <xf numFmtId="0" fontId="36" fillId="6" borderId="6" xfId="0" applyFont="1" applyFill="1" applyBorder="1" applyAlignment="1">
      <alignment horizontal="center" vertical="center"/>
    </xf>
    <xf numFmtId="0" fontId="26" fillId="16" borderId="7" xfId="0" applyFont="1" applyFill="1" applyBorder="1" applyAlignment="1">
      <alignment horizontal="center" vertical="center" wrapText="1"/>
    </xf>
    <xf numFmtId="0" fontId="42" fillId="0" borderId="64" xfId="0" applyFont="1" applyBorder="1" applyAlignment="1">
      <alignment horizontal="center" vertical="top" wrapText="1"/>
    </xf>
    <xf numFmtId="0" fontId="42" fillId="0" borderId="65" xfId="0" applyFont="1" applyBorder="1" applyAlignment="1">
      <alignment horizontal="center" vertical="top" wrapText="1"/>
    </xf>
    <xf numFmtId="0" fontId="42" fillId="0" borderId="66" xfId="0" applyFont="1" applyBorder="1" applyAlignment="1">
      <alignment horizontal="center" vertical="top" wrapText="1"/>
    </xf>
    <xf numFmtId="0" fontId="3" fillId="0" borderId="51" xfId="0" applyFont="1" applyBorder="1" applyAlignment="1">
      <alignment horizontal="center" vertical="center" textRotation="255" wrapText="1"/>
    </xf>
    <xf numFmtId="0" fontId="3" fillId="0" borderId="33" xfId="0" applyFont="1" applyBorder="1" applyAlignment="1">
      <alignment horizontal="center" vertical="center" textRotation="255"/>
    </xf>
    <xf numFmtId="0" fontId="3" fillId="0" borderId="25" xfId="0" applyFont="1" applyBorder="1" applyAlignment="1">
      <alignment horizontal="center" vertical="center" textRotation="255"/>
    </xf>
    <xf numFmtId="0" fontId="0" fillId="3" borderId="31" xfId="0" applyFill="1" applyBorder="1" applyAlignment="1">
      <alignment horizontal="center" wrapText="1"/>
    </xf>
    <xf numFmtId="0" fontId="0" fillId="3" borderId="40" xfId="0" applyFill="1" applyBorder="1" applyAlignment="1">
      <alignment horizontal="center" wrapText="1"/>
    </xf>
    <xf numFmtId="0" fontId="0" fillId="3" borderId="37" xfId="0" applyFill="1" applyBorder="1" applyAlignment="1">
      <alignment horizontal="center" wrapText="1"/>
    </xf>
    <xf numFmtId="0" fontId="4" fillId="2" borderId="35" xfId="0" applyFont="1" applyFill="1" applyBorder="1" applyAlignment="1">
      <alignment horizontal="center" wrapText="1"/>
    </xf>
    <xf numFmtId="0" fontId="4" fillId="2" borderId="36" xfId="0" applyFont="1" applyFill="1" applyBorder="1" applyAlignment="1">
      <alignment horizontal="center" wrapText="1"/>
    </xf>
    <xf numFmtId="0" fontId="4" fillId="2" borderId="41" xfId="0" applyFont="1" applyFill="1" applyBorder="1" applyAlignment="1">
      <alignment horizontal="center" wrapText="1"/>
    </xf>
    <xf numFmtId="0" fontId="4" fillId="2" borderId="42" xfId="0" applyFont="1" applyFill="1" applyBorder="1" applyAlignment="1">
      <alignment horizontal="center" wrapText="1"/>
    </xf>
    <xf numFmtId="0" fontId="3" fillId="0" borderId="34" xfId="0" applyFont="1" applyBorder="1" applyAlignment="1">
      <alignment horizontal="center" vertical="center" wrapText="1"/>
    </xf>
    <xf numFmtId="0" fontId="3" fillId="0" borderId="38" xfId="0" applyFont="1" applyBorder="1" applyAlignment="1">
      <alignment horizontal="center" vertical="center" wrapText="1"/>
    </xf>
    <xf numFmtId="0" fontId="3" fillId="0" borderId="50" xfId="0" applyFont="1" applyBorder="1" applyAlignment="1">
      <alignment horizontal="center" vertical="center" wrapText="1"/>
    </xf>
    <xf numFmtId="0" fontId="3" fillId="0" borderId="1" xfId="0" applyFont="1" applyBorder="1" applyAlignment="1">
      <alignment horizontal="center" vertical="center" wrapText="1"/>
    </xf>
    <xf numFmtId="0" fontId="3" fillId="0" borderId="39" xfId="0" applyFont="1" applyBorder="1" applyAlignment="1">
      <alignment horizontal="center" vertical="center" wrapText="1"/>
    </xf>
    <xf numFmtId="0" fontId="3" fillId="0" borderId="43" xfId="0" applyFont="1" applyBorder="1" applyAlignment="1">
      <alignment horizontal="center" vertical="center" wrapText="1"/>
    </xf>
    <xf numFmtId="0" fontId="8" fillId="0" borderId="44" xfId="0" applyFont="1" applyBorder="1" applyAlignment="1">
      <alignment horizontal="center" vertical="top" wrapText="1"/>
    </xf>
    <xf numFmtId="0" fontId="8" fillId="0" borderId="45" xfId="0" applyFont="1" applyBorder="1" applyAlignment="1">
      <alignment horizontal="center" vertical="top" wrapText="1"/>
    </xf>
    <xf numFmtId="0" fontId="8" fillId="0" borderId="8" xfId="0" applyFont="1" applyBorder="1" applyAlignment="1">
      <alignment horizontal="center" vertical="top" wrapText="1"/>
    </xf>
    <xf numFmtId="0" fontId="37" fillId="16" borderId="40" xfId="0" applyFont="1" applyFill="1" applyBorder="1" applyAlignment="1">
      <alignment horizontal="center" vertical="center"/>
    </xf>
    <xf numFmtId="0" fontId="38" fillId="16" borderId="40" xfId="0" applyFont="1" applyFill="1" applyBorder="1" applyAlignment="1">
      <alignment horizontal="center" vertical="center"/>
    </xf>
    <xf numFmtId="0" fontId="38" fillId="16" borderId="37" xfId="0" applyFont="1" applyFill="1" applyBorder="1" applyAlignment="1">
      <alignment horizontal="center" vertical="center"/>
    </xf>
    <xf numFmtId="0" fontId="36" fillId="6" borderId="31" xfId="0" applyFont="1" applyFill="1" applyBorder="1" applyAlignment="1">
      <alignment horizontal="center" vertical="center"/>
    </xf>
    <xf numFmtId="0" fontId="36" fillId="6" borderId="40" xfId="0" applyFont="1" applyFill="1" applyBorder="1" applyAlignment="1">
      <alignment horizontal="center" vertical="center"/>
    </xf>
    <xf numFmtId="0" fontId="36" fillId="6" borderId="37" xfId="0" applyFont="1" applyFill="1" applyBorder="1" applyAlignment="1">
      <alignment horizontal="center" vertical="center"/>
    </xf>
    <xf numFmtId="0" fontId="1" fillId="14" borderId="31" xfId="0" applyFont="1" applyFill="1" applyBorder="1" applyAlignment="1">
      <alignment horizontal="left" vertical="center" wrapText="1"/>
    </xf>
    <xf numFmtId="0" fontId="1" fillId="14" borderId="40" xfId="0" applyFont="1" applyFill="1" applyBorder="1" applyAlignment="1">
      <alignment horizontal="left" vertical="center" wrapText="1"/>
    </xf>
    <xf numFmtId="0" fontId="1" fillId="14" borderId="37" xfId="0" applyFont="1" applyFill="1" applyBorder="1" applyAlignment="1">
      <alignment horizontal="left" vertical="center" wrapText="1"/>
    </xf>
    <xf numFmtId="0" fontId="37" fillId="16" borderId="31" xfId="0" applyFont="1" applyFill="1" applyBorder="1" applyAlignment="1">
      <alignment horizontal="center" vertical="center"/>
    </xf>
    <xf numFmtId="0" fontId="37" fillId="16" borderId="37" xfId="0" applyFont="1" applyFill="1" applyBorder="1" applyAlignment="1">
      <alignment horizontal="center" vertical="center"/>
    </xf>
  </cellXfs>
  <cellStyles count="2">
    <cellStyle name="Hyperlink" xfId="1" builtinId="8"/>
    <cellStyle name="Normal" xfId="0" builtinId="0"/>
  </cellStyles>
  <dxfs count="0"/>
  <tableStyles count="0" defaultTableStyle="TableStyleMedium9" defaultPivotStyle="PivotStyleLight16"/>
  <colors>
    <mruColors>
      <color rgb="FF0000FF"/>
      <color rgb="FF66FF33"/>
      <color rgb="FFCC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12.png"/><Relationship Id="rId13" Type="http://schemas.openxmlformats.org/officeDocument/2006/relationships/image" Target="../media/image17.png"/><Relationship Id="rId18" Type="http://schemas.openxmlformats.org/officeDocument/2006/relationships/image" Target="../media/image22.png"/><Relationship Id="rId26" Type="http://schemas.openxmlformats.org/officeDocument/2006/relationships/image" Target="../media/image30.png"/><Relationship Id="rId3" Type="http://schemas.openxmlformats.org/officeDocument/2006/relationships/image" Target="../media/image7.png"/><Relationship Id="rId21" Type="http://schemas.openxmlformats.org/officeDocument/2006/relationships/image" Target="../media/image25.png"/><Relationship Id="rId7" Type="http://schemas.openxmlformats.org/officeDocument/2006/relationships/image" Target="../media/image11.png"/><Relationship Id="rId12" Type="http://schemas.openxmlformats.org/officeDocument/2006/relationships/image" Target="../media/image16.png"/><Relationship Id="rId17" Type="http://schemas.openxmlformats.org/officeDocument/2006/relationships/image" Target="../media/image21.png"/><Relationship Id="rId25" Type="http://schemas.openxmlformats.org/officeDocument/2006/relationships/image" Target="../media/image29.png"/><Relationship Id="rId2" Type="http://schemas.openxmlformats.org/officeDocument/2006/relationships/image" Target="../media/image6.png"/><Relationship Id="rId16" Type="http://schemas.openxmlformats.org/officeDocument/2006/relationships/image" Target="../media/image20.png"/><Relationship Id="rId20" Type="http://schemas.openxmlformats.org/officeDocument/2006/relationships/image" Target="../media/image24.png"/><Relationship Id="rId1" Type="http://schemas.openxmlformats.org/officeDocument/2006/relationships/image" Target="../media/image5.png"/><Relationship Id="rId6" Type="http://schemas.openxmlformats.org/officeDocument/2006/relationships/image" Target="../media/image10.png"/><Relationship Id="rId11" Type="http://schemas.openxmlformats.org/officeDocument/2006/relationships/image" Target="../media/image15.png"/><Relationship Id="rId24" Type="http://schemas.openxmlformats.org/officeDocument/2006/relationships/image" Target="../media/image28.png"/><Relationship Id="rId5" Type="http://schemas.openxmlformats.org/officeDocument/2006/relationships/image" Target="../media/image9.png"/><Relationship Id="rId15" Type="http://schemas.openxmlformats.org/officeDocument/2006/relationships/image" Target="../media/image19.png"/><Relationship Id="rId23" Type="http://schemas.openxmlformats.org/officeDocument/2006/relationships/image" Target="../media/image27.png"/><Relationship Id="rId10" Type="http://schemas.openxmlformats.org/officeDocument/2006/relationships/image" Target="../media/image14.png"/><Relationship Id="rId19" Type="http://schemas.openxmlformats.org/officeDocument/2006/relationships/image" Target="../media/image23.png"/><Relationship Id="rId4" Type="http://schemas.openxmlformats.org/officeDocument/2006/relationships/image" Target="../media/image8.png"/><Relationship Id="rId9" Type="http://schemas.openxmlformats.org/officeDocument/2006/relationships/image" Target="../media/image13.png"/><Relationship Id="rId14" Type="http://schemas.openxmlformats.org/officeDocument/2006/relationships/image" Target="../media/image18.png"/><Relationship Id="rId22" Type="http://schemas.openxmlformats.org/officeDocument/2006/relationships/image" Target="../media/image2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2.png"/><Relationship Id="rId13" Type="http://schemas.openxmlformats.org/officeDocument/2006/relationships/image" Target="../media/image17.png"/><Relationship Id="rId18" Type="http://schemas.openxmlformats.org/officeDocument/2006/relationships/image" Target="../media/image22.png"/><Relationship Id="rId26" Type="http://schemas.openxmlformats.org/officeDocument/2006/relationships/image" Target="../media/image30.png"/><Relationship Id="rId3" Type="http://schemas.openxmlformats.org/officeDocument/2006/relationships/image" Target="../media/image7.png"/><Relationship Id="rId21" Type="http://schemas.openxmlformats.org/officeDocument/2006/relationships/image" Target="../media/image25.png"/><Relationship Id="rId7" Type="http://schemas.openxmlformats.org/officeDocument/2006/relationships/image" Target="../media/image11.png"/><Relationship Id="rId12" Type="http://schemas.openxmlformats.org/officeDocument/2006/relationships/image" Target="../media/image16.png"/><Relationship Id="rId17" Type="http://schemas.openxmlformats.org/officeDocument/2006/relationships/image" Target="../media/image21.png"/><Relationship Id="rId25" Type="http://schemas.openxmlformats.org/officeDocument/2006/relationships/image" Target="../media/image29.png"/><Relationship Id="rId2" Type="http://schemas.openxmlformats.org/officeDocument/2006/relationships/image" Target="../media/image6.png"/><Relationship Id="rId16" Type="http://schemas.openxmlformats.org/officeDocument/2006/relationships/image" Target="../media/image20.png"/><Relationship Id="rId20" Type="http://schemas.openxmlformats.org/officeDocument/2006/relationships/image" Target="../media/image24.png"/><Relationship Id="rId1" Type="http://schemas.openxmlformats.org/officeDocument/2006/relationships/image" Target="../media/image5.png"/><Relationship Id="rId6" Type="http://schemas.openxmlformats.org/officeDocument/2006/relationships/image" Target="../media/image10.png"/><Relationship Id="rId11" Type="http://schemas.openxmlformats.org/officeDocument/2006/relationships/image" Target="../media/image15.png"/><Relationship Id="rId24" Type="http://schemas.openxmlformats.org/officeDocument/2006/relationships/image" Target="../media/image28.png"/><Relationship Id="rId5" Type="http://schemas.openxmlformats.org/officeDocument/2006/relationships/image" Target="../media/image9.png"/><Relationship Id="rId15" Type="http://schemas.openxmlformats.org/officeDocument/2006/relationships/image" Target="../media/image19.png"/><Relationship Id="rId23" Type="http://schemas.openxmlformats.org/officeDocument/2006/relationships/image" Target="../media/image27.png"/><Relationship Id="rId10" Type="http://schemas.openxmlformats.org/officeDocument/2006/relationships/image" Target="../media/image14.png"/><Relationship Id="rId19" Type="http://schemas.openxmlformats.org/officeDocument/2006/relationships/image" Target="../media/image23.png"/><Relationship Id="rId4" Type="http://schemas.openxmlformats.org/officeDocument/2006/relationships/image" Target="../media/image8.png"/><Relationship Id="rId9" Type="http://schemas.openxmlformats.org/officeDocument/2006/relationships/image" Target="../media/image13.png"/><Relationship Id="rId14" Type="http://schemas.openxmlformats.org/officeDocument/2006/relationships/image" Target="../media/image18.png"/><Relationship Id="rId22" Type="http://schemas.openxmlformats.org/officeDocument/2006/relationships/image" Target="../media/image26.png"/></Relationships>
</file>

<file path=xl/drawings/_rels/drawing4.xml.rels><?xml version="1.0" encoding="UTF-8" standalone="yes"?>
<Relationships xmlns="http://schemas.openxmlformats.org/package/2006/relationships"><Relationship Id="rId3" Type="http://schemas.openxmlformats.org/officeDocument/2006/relationships/image" Target="../media/image35.jpeg"/><Relationship Id="rId2" Type="http://schemas.openxmlformats.org/officeDocument/2006/relationships/image" Target="../media/image34.jpeg"/><Relationship Id="rId1" Type="http://schemas.openxmlformats.org/officeDocument/2006/relationships/image" Target="../media/image33.jpeg"/><Relationship Id="rId5" Type="http://schemas.openxmlformats.org/officeDocument/2006/relationships/image" Target="../media/image37.jpeg"/><Relationship Id="rId4" Type="http://schemas.openxmlformats.org/officeDocument/2006/relationships/image" Target="../media/image36.jpeg"/></Relationships>
</file>

<file path=xl/drawings/_rels/vmlDrawing1.vml.rels><?xml version="1.0" encoding="UTF-8" standalone="yes"?>
<Relationships xmlns="http://schemas.openxmlformats.org/package/2006/relationships"><Relationship Id="rId3" Type="http://schemas.openxmlformats.org/officeDocument/2006/relationships/image" Target="../media/image4.emf"/><Relationship Id="rId2" Type="http://schemas.openxmlformats.org/officeDocument/2006/relationships/image" Target="../media/image3.emf"/><Relationship Id="rId1" Type="http://schemas.openxmlformats.org/officeDocument/2006/relationships/image" Target="../media/image2.emf"/></Relationships>
</file>

<file path=xl/drawings/_rels/vmlDrawing2.vml.rels><?xml version="1.0" encoding="UTF-8" standalone="yes"?>
<Relationships xmlns="http://schemas.openxmlformats.org/package/2006/relationships"><Relationship Id="rId3" Type="http://schemas.openxmlformats.org/officeDocument/2006/relationships/image" Target="../media/image4.emf"/><Relationship Id="rId2" Type="http://schemas.openxmlformats.org/officeDocument/2006/relationships/image" Target="../media/image32.emf"/><Relationship Id="rId1" Type="http://schemas.openxmlformats.org/officeDocument/2006/relationships/image" Target="../media/image31.emf"/></Relationships>
</file>

<file path=xl/drawings/drawing1.xml><?xml version="1.0" encoding="utf-8"?>
<xdr:wsDr xmlns:xdr="http://schemas.openxmlformats.org/drawingml/2006/spreadsheetDrawing" xmlns:a="http://schemas.openxmlformats.org/drawingml/2006/main">
  <xdr:twoCellAnchor>
    <xdr:from>
      <xdr:col>5</xdr:col>
      <xdr:colOff>28575</xdr:colOff>
      <xdr:row>74</xdr:row>
      <xdr:rowOff>76200</xdr:rowOff>
    </xdr:from>
    <xdr:to>
      <xdr:col>13</xdr:col>
      <xdr:colOff>104775</xdr:colOff>
      <xdr:row>84</xdr:row>
      <xdr:rowOff>114300</xdr:rowOff>
    </xdr:to>
    <xdr:sp macro="" textlink="">
      <xdr:nvSpPr>
        <xdr:cNvPr id="2" name="TextBox 1">
          <a:extLst>
            <a:ext uri="{FF2B5EF4-FFF2-40B4-BE49-F238E27FC236}">
              <a16:creationId xmlns:a16="http://schemas.microsoft.com/office/drawing/2014/main" id="{00000000-0008-0000-0100-000002000000}"/>
            </a:ext>
          </a:extLst>
        </xdr:cNvPr>
        <xdr:cNvSpPr txBox="1"/>
      </xdr:nvSpPr>
      <xdr:spPr>
        <a:xfrm>
          <a:off x="3667125" y="16659225"/>
          <a:ext cx="7391400" cy="1657350"/>
        </a:xfrm>
        <a:prstGeom prst="rect">
          <a:avLst/>
        </a:prstGeom>
        <a:solidFill>
          <a:srgbClr val="FFFF00"/>
        </a:solidFill>
        <a:ln/>
      </xdr:spPr>
      <xdr:style>
        <a:lnRef idx="2">
          <a:schemeClr val="accent2"/>
        </a:lnRef>
        <a:fillRef idx="1">
          <a:schemeClr val="lt1"/>
        </a:fillRef>
        <a:effectRef idx="0">
          <a:schemeClr val="accent2"/>
        </a:effectRef>
        <a:fontRef idx="minor">
          <a:schemeClr val="dk1"/>
        </a:fontRef>
      </xdr:style>
      <xdr:txBody>
        <a:bodyPr vertOverflow="clip" wrap="square" rtlCol="0" anchor="t"/>
        <a:lstStyle/>
        <a:p>
          <a:pPr rtl="0"/>
          <a:r>
            <a:rPr lang="en-US" sz="1100" b="1" i="1" baseline="0">
              <a:solidFill>
                <a:schemeClr val="dk1"/>
              </a:solidFill>
              <a:latin typeface="+mn-lt"/>
              <a:ea typeface="+mn-ea"/>
              <a:cs typeface="+mn-cs"/>
            </a:rPr>
            <a:t>THIS PAGE IS BEING CONSTRUCTED FROM ACTUAL SALE TRANSACTIONS ON EBAY AND CRAIGSLIST.</a:t>
          </a:r>
          <a:endParaRPr lang="en-US"/>
        </a:p>
        <a:p>
          <a:pPr rtl="0" fontAlgn="base"/>
          <a:endParaRPr lang="en-US" sz="1100" b="1" i="1" baseline="0">
            <a:solidFill>
              <a:schemeClr val="dk1"/>
            </a:solidFill>
            <a:latin typeface="+mn-lt"/>
            <a:ea typeface="+mn-ea"/>
            <a:cs typeface="+mn-cs"/>
          </a:endParaRPr>
        </a:p>
        <a:p>
          <a:pPr rtl="0"/>
          <a:r>
            <a:rPr lang="en-US" sz="1100" b="1" i="1" baseline="0">
              <a:solidFill>
                <a:schemeClr val="dk1"/>
              </a:solidFill>
              <a:latin typeface="+mn-lt"/>
              <a:ea typeface="+mn-ea"/>
              <a:cs typeface="+mn-cs"/>
            </a:rPr>
            <a:t>AS SELLING PRICES ARE OBTAINED, THEY WILL BE ENTERED INTO THE RESPECTIVE COLUMN, AND THE AVERAGE PRICE IS TALLIED. PRICES SHOWN INCLUDE SHIPPING COST TO THE BUYER. THAT IS A REALISTIC STREET PRICE BECAUSE IT REFLECTS THE ACTUAL PRICE A BUYER IS WILLING TO PAY.</a:t>
          </a:r>
          <a:endParaRPr lang="en-US"/>
        </a:p>
        <a:p>
          <a:pPr rtl="0" fontAlgn="base"/>
          <a:endParaRPr lang="en-US" sz="1100" b="1" i="1" baseline="0">
            <a:solidFill>
              <a:schemeClr val="dk1"/>
            </a:solidFill>
            <a:latin typeface="+mn-lt"/>
            <a:ea typeface="+mn-ea"/>
            <a:cs typeface="+mn-cs"/>
          </a:endParaRPr>
        </a:p>
        <a:p>
          <a:pPr rtl="0"/>
          <a:r>
            <a:rPr lang="en-US" sz="1100" b="1" i="1" baseline="0">
              <a:solidFill>
                <a:schemeClr val="dk1"/>
              </a:solidFill>
              <a:latin typeface="+mn-lt"/>
              <a:ea typeface="+mn-ea"/>
              <a:cs typeface="+mn-cs"/>
            </a:rPr>
            <a:t>THERE MAY BE SOME OUTLANDISH DIFFERENCES, BUT THESE ARE ACTUAL PRICES THE INSTRUMENTS SELL FOR.  I MAY, AT SOME POINT, DROP OUT THE HIGH AND LOW PRICES TO INSURE SOME KIND OF RELATIVE RELIABILITY EXISTS IN KNOW THE VALUE OF A SPECIFIC INSTRUMENT.</a:t>
          </a:r>
          <a:endParaRPr lang="en-US"/>
        </a:p>
        <a:p>
          <a:endParaRPr lang="en-US" sz="1100"/>
        </a:p>
      </xdr:txBody>
    </xdr:sp>
    <xdr:clientData/>
  </xdr:twoCellAnchor>
  <xdr:twoCellAnchor editAs="oneCell">
    <xdr:from>
      <xdr:col>1</xdr:col>
      <xdr:colOff>381000</xdr:colOff>
      <xdr:row>1</xdr:row>
      <xdr:rowOff>104775</xdr:rowOff>
    </xdr:from>
    <xdr:to>
      <xdr:col>1</xdr:col>
      <xdr:colOff>2009775</xdr:colOff>
      <xdr:row>1</xdr:row>
      <xdr:rowOff>552450</xdr:rowOff>
    </xdr:to>
    <xdr:pic>
      <xdr:nvPicPr>
        <xdr:cNvPr id="3207" name="Picture 3" descr="ConnLogo1.gif">
          <a:extLst>
            <a:ext uri="{FF2B5EF4-FFF2-40B4-BE49-F238E27FC236}">
              <a16:creationId xmlns:a16="http://schemas.microsoft.com/office/drawing/2014/main" id="{00000000-0008-0000-0100-0000870C0000}"/>
            </a:ext>
          </a:extLst>
        </xdr:cNvPr>
        <xdr:cNvPicPr>
          <a:picLocks noChangeAspect="1"/>
        </xdr:cNvPicPr>
      </xdr:nvPicPr>
      <xdr:blipFill>
        <a:blip xmlns:r="http://schemas.openxmlformats.org/officeDocument/2006/relationships" r:embed="rId1" cstate="print"/>
        <a:srcRect/>
        <a:stretch>
          <a:fillRect/>
        </a:stretch>
      </xdr:blipFill>
      <xdr:spPr bwMode="auto">
        <a:xfrm>
          <a:off x="733425" y="276225"/>
          <a:ext cx="1628775" cy="447675"/>
        </a:xfrm>
        <a:prstGeom prst="rect">
          <a:avLst/>
        </a:prstGeom>
        <a:noFill/>
        <a:ln w="9525">
          <a:noFill/>
          <a:miter lim="800000"/>
          <a:headEnd/>
          <a:tailEnd/>
        </a:ln>
      </xdr:spPr>
    </xdr:pic>
    <xdr:clientData/>
  </xdr:twoCellAnchor>
  <xdr:twoCellAnchor>
    <xdr:from>
      <xdr:col>1</xdr:col>
      <xdr:colOff>2124075</xdr:colOff>
      <xdr:row>8</xdr:row>
      <xdr:rowOff>190500</xdr:rowOff>
    </xdr:from>
    <xdr:to>
      <xdr:col>1</xdr:col>
      <xdr:colOff>2524125</xdr:colOff>
      <xdr:row>8</xdr:row>
      <xdr:rowOff>438149</xdr:rowOff>
    </xdr:to>
    <xdr:sp macro="" textlink="">
      <xdr:nvSpPr>
        <xdr:cNvPr id="4" name="Right Arrow 3">
          <a:extLst>
            <a:ext uri="{FF2B5EF4-FFF2-40B4-BE49-F238E27FC236}">
              <a16:creationId xmlns:a16="http://schemas.microsoft.com/office/drawing/2014/main" id="{00000000-0008-0000-0100-000004000000}"/>
            </a:ext>
          </a:extLst>
        </xdr:cNvPr>
        <xdr:cNvSpPr/>
      </xdr:nvSpPr>
      <xdr:spPr>
        <a:xfrm>
          <a:off x="2476500" y="3190875"/>
          <a:ext cx="400050" cy="247649"/>
        </a:xfrm>
        <a:prstGeom prst="rightArrow">
          <a:avLst/>
        </a:prstGeom>
        <a:solidFill>
          <a:schemeClr val="accent5">
            <a:lumMod val="20000"/>
            <a:lumOff val="80000"/>
          </a:schemeClr>
        </a:solidFill>
        <a:ln w="12700">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n-US" sz="1100">
            <a:solidFill>
              <a:srgbClr val="0000FF"/>
            </a:solidFill>
          </a:endParaRP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xdr:colOff>
      <xdr:row>4</xdr:row>
      <xdr:rowOff>1</xdr:rowOff>
    </xdr:from>
    <xdr:to>
      <xdr:col>1</xdr:col>
      <xdr:colOff>2686051</xdr:colOff>
      <xdr:row>10</xdr:row>
      <xdr:rowOff>108248</xdr:rowOff>
    </xdr:to>
    <xdr:pic>
      <xdr:nvPicPr>
        <xdr:cNvPr id="2049" name="Picture 1">
          <a:extLst>
            <a:ext uri="{FF2B5EF4-FFF2-40B4-BE49-F238E27FC236}">
              <a16:creationId xmlns:a16="http://schemas.microsoft.com/office/drawing/2014/main" id="{00000000-0008-0000-0400-00000108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 y="781051"/>
          <a:ext cx="2686050" cy="1203622"/>
        </a:xfrm>
        <a:prstGeom prst="rect">
          <a:avLst/>
        </a:prstGeom>
        <a:noFill/>
        <a:ln w="1">
          <a:noFill/>
          <a:miter lim="800000"/>
          <a:headEnd/>
          <a:tailEnd type="none" w="med" len="med"/>
        </a:ln>
        <a:effectLst/>
      </xdr:spPr>
    </xdr:pic>
    <xdr:clientData/>
  </xdr:twoCellAnchor>
  <xdr:twoCellAnchor editAs="oneCell">
    <xdr:from>
      <xdr:col>2</xdr:col>
      <xdr:colOff>8277</xdr:colOff>
      <xdr:row>4</xdr:row>
      <xdr:rowOff>57150</xdr:rowOff>
    </xdr:from>
    <xdr:to>
      <xdr:col>2</xdr:col>
      <xdr:colOff>2543174</xdr:colOff>
      <xdr:row>19</xdr:row>
      <xdr:rowOff>36052</xdr:rowOff>
    </xdr:to>
    <xdr:pic>
      <xdr:nvPicPr>
        <xdr:cNvPr id="2050" name="Picture 2">
          <a:extLst>
            <a:ext uri="{FF2B5EF4-FFF2-40B4-BE49-F238E27FC236}">
              <a16:creationId xmlns:a16="http://schemas.microsoft.com/office/drawing/2014/main" id="{00000000-0008-0000-0400-00000208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723152" y="1809750"/>
          <a:ext cx="2534897" cy="2712577"/>
        </a:xfrm>
        <a:prstGeom prst="rect">
          <a:avLst/>
        </a:prstGeom>
        <a:noFill/>
        <a:ln w="1">
          <a:noFill/>
          <a:miter lim="800000"/>
          <a:headEnd/>
          <a:tailEnd type="none" w="med" len="med"/>
        </a:ln>
        <a:effectLst/>
      </xdr:spPr>
    </xdr:pic>
    <xdr:clientData/>
  </xdr:twoCellAnchor>
  <xdr:twoCellAnchor editAs="oneCell">
    <xdr:from>
      <xdr:col>3</xdr:col>
      <xdr:colOff>19050</xdr:colOff>
      <xdr:row>4</xdr:row>
      <xdr:rowOff>1</xdr:rowOff>
    </xdr:from>
    <xdr:to>
      <xdr:col>3</xdr:col>
      <xdr:colOff>2040294</xdr:colOff>
      <xdr:row>19</xdr:row>
      <xdr:rowOff>9526</xdr:rowOff>
    </xdr:to>
    <xdr:pic>
      <xdr:nvPicPr>
        <xdr:cNvPr id="2051" name="Picture 3">
          <a:extLst>
            <a:ext uri="{FF2B5EF4-FFF2-40B4-BE49-F238E27FC236}">
              <a16:creationId xmlns:a16="http://schemas.microsoft.com/office/drawing/2014/main" id="{00000000-0008-0000-0400-00000308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7296150" y="1743076"/>
          <a:ext cx="2021244" cy="2743200"/>
        </a:xfrm>
        <a:prstGeom prst="rect">
          <a:avLst/>
        </a:prstGeom>
        <a:noFill/>
        <a:ln w="1">
          <a:noFill/>
          <a:miter lim="800000"/>
          <a:headEnd/>
          <a:tailEnd type="none" w="med" len="med"/>
        </a:ln>
        <a:effectLst/>
      </xdr:spPr>
    </xdr:pic>
    <xdr:clientData/>
  </xdr:twoCellAnchor>
  <xdr:twoCellAnchor editAs="oneCell">
    <xdr:from>
      <xdr:col>5</xdr:col>
      <xdr:colOff>19052</xdr:colOff>
      <xdr:row>4</xdr:row>
      <xdr:rowOff>2</xdr:rowOff>
    </xdr:from>
    <xdr:to>
      <xdr:col>5</xdr:col>
      <xdr:colOff>1495425</xdr:colOff>
      <xdr:row>19</xdr:row>
      <xdr:rowOff>51936</xdr:rowOff>
    </xdr:to>
    <xdr:pic>
      <xdr:nvPicPr>
        <xdr:cNvPr id="2052" name="Picture 4">
          <a:extLst>
            <a:ext uri="{FF2B5EF4-FFF2-40B4-BE49-F238E27FC236}">
              <a16:creationId xmlns:a16="http://schemas.microsoft.com/office/drawing/2014/main" id="{00000000-0008-0000-0400-00000408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11506202" y="1743077"/>
          <a:ext cx="1476373" cy="2785609"/>
        </a:xfrm>
        <a:prstGeom prst="rect">
          <a:avLst/>
        </a:prstGeom>
        <a:noFill/>
        <a:ln w="1">
          <a:noFill/>
          <a:miter lim="800000"/>
          <a:headEnd/>
          <a:tailEnd type="none" w="med" len="med"/>
        </a:ln>
        <a:effectLst/>
      </xdr:spPr>
    </xdr:pic>
    <xdr:clientData/>
  </xdr:twoCellAnchor>
  <xdr:twoCellAnchor editAs="oneCell">
    <xdr:from>
      <xdr:col>6</xdr:col>
      <xdr:colOff>19051</xdr:colOff>
      <xdr:row>3</xdr:row>
      <xdr:rowOff>257174</xdr:rowOff>
    </xdr:from>
    <xdr:to>
      <xdr:col>6</xdr:col>
      <xdr:colOff>1327485</xdr:colOff>
      <xdr:row>19</xdr:row>
      <xdr:rowOff>19050</xdr:rowOff>
    </xdr:to>
    <xdr:pic>
      <xdr:nvPicPr>
        <xdr:cNvPr id="2053" name="Picture 5">
          <a:extLst>
            <a:ext uri="{FF2B5EF4-FFF2-40B4-BE49-F238E27FC236}">
              <a16:creationId xmlns:a16="http://schemas.microsoft.com/office/drawing/2014/main" id="{00000000-0008-0000-0400-00000508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13049251" y="1743074"/>
          <a:ext cx="1308434" cy="2762251"/>
        </a:xfrm>
        <a:prstGeom prst="rect">
          <a:avLst/>
        </a:prstGeom>
        <a:noFill/>
        <a:ln w="1">
          <a:noFill/>
          <a:miter lim="800000"/>
          <a:headEnd/>
          <a:tailEnd type="none" w="med" len="med"/>
        </a:ln>
        <a:effectLst/>
      </xdr:spPr>
    </xdr:pic>
    <xdr:clientData/>
  </xdr:twoCellAnchor>
  <xdr:twoCellAnchor editAs="oneCell">
    <xdr:from>
      <xdr:col>7</xdr:col>
      <xdr:colOff>9530</xdr:colOff>
      <xdr:row>4</xdr:row>
      <xdr:rowOff>5</xdr:rowOff>
    </xdr:from>
    <xdr:to>
      <xdr:col>7</xdr:col>
      <xdr:colOff>1773840</xdr:colOff>
      <xdr:row>19</xdr:row>
      <xdr:rowOff>66676</xdr:rowOff>
    </xdr:to>
    <xdr:pic>
      <xdr:nvPicPr>
        <xdr:cNvPr id="2054" name="Picture 6">
          <a:extLst>
            <a:ext uri="{FF2B5EF4-FFF2-40B4-BE49-F238E27FC236}">
              <a16:creationId xmlns:a16="http://schemas.microsoft.com/office/drawing/2014/main" id="{00000000-0008-0000-0400-00000608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15973430" y="1752605"/>
          <a:ext cx="1764310" cy="2800346"/>
        </a:xfrm>
        <a:prstGeom prst="rect">
          <a:avLst/>
        </a:prstGeom>
        <a:noFill/>
        <a:ln w="1">
          <a:noFill/>
          <a:miter lim="800000"/>
          <a:headEnd/>
          <a:tailEnd type="none" w="med" len="med"/>
        </a:ln>
        <a:effectLst/>
      </xdr:spPr>
    </xdr:pic>
    <xdr:clientData/>
  </xdr:twoCellAnchor>
  <xdr:twoCellAnchor editAs="oneCell">
    <xdr:from>
      <xdr:col>8</xdr:col>
      <xdr:colOff>19050</xdr:colOff>
      <xdr:row>4</xdr:row>
      <xdr:rowOff>1</xdr:rowOff>
    </xdr:from>
    <xdr:to>
      <xdr:col>8</xdr:col>
      <xdr:colOff>1298343</xdr:colOff>
      <xdr:row>19</xdr:row>
      <xdr:rowOff>76200</xdr:rowOff>
    </xdr:to>
    <xdr:pic>
      <xdr:nvPicPr>
        <xdr:cNvPr id="2055" name="Picture 7">
          <a:extLst>
            <a:ext uri="{FF2B5EF4-FFF2-40B4-BE49-F238E27FC236}">
              <a16:creationId xmlns:a16="http://schemas.microsoft.com/office/drawing/2014/main" id="{00000000-0008-0000-0400-00000708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17992725" y="1752601"/>
          <a:ext cx="1279293" cy="2809874"/>
        </a:xfrm>
        <a:prstGeom prst="rect">
          <a:avLst/>
        </a:prstGeom>
        <a:noFill/>
        <a:ln w="1">
          <a:noFill/>
          <a:miter lim="800000"/>
          <a:headEnd/>
          <a:tailEnd type="none" w="med" len="med"/>
        </a:ln>
        <a:effectLst/>
      </xdr:spPr>
    </xdr:pic>
    <xdr:clientData/>
  </xdr:twoCellAnchor>
  <xdr:twoCellAnchor editAs="oneCell">
    <xdr:from>
      <xdr:col>9</xdr:col>
      <xdr:colOff>19049</xdr:colOff>
      <xdr:row>4</xdr:row>
      <xdr:rowOff>0</xdr:rowOff>
    </xdr:from>
    <xdr:to>
      <xdr:col>9</xdr:col>
      <xdr:colOff>1379109</xdr:colOff>
      <xdr:row>19</xdr:row>
      <xdr:rowOff>95250</xdr:rowOff>
    </xdr:to>
    <xdr:pic>
      <xdr:nvPicPr>
        <xdr:cNvPr id="2056" name="Picture 8">
          <a:extLst>
            <a:ext uri="{FF2B5EF4-FFF2-40B4-BE49-F238E27FC236}">
              <a16:creationId xmlns:a16="http://schemas.microsoft.com/office/drawing/2014/main" id="{00000000-0008-0000-0400-00000808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19469099" y="1752600"/>
          <a:ext cx="1360060" cy="2828925"/>
        </a:xfrm>
        <a:prstGeom prst="rect">
          <a:avLst/>
        </a:prstGeom>
        <a:noFill/>
        <a:ln w="1">
          <a:noFill/>
          <a:miter lim="800000"/>
          <a:headEnd/>
          <a:tailEnd type="none" w="med" len="med"/>
        </a:ln>
        <a:effectLst/>
      </xdr:spPr>
    </xdr:pic>
    <xdr:clientData/>
  </xdr:twoCellAnchor>
  <xdr:twoCellAnchor editAs="oneCell">
    <xdr:from>
      <xdr:col>10</xdr:col>
      <xdr:colOff>47624</xdr:colOff>
      <xdr:row>4</xdr:row>
      <xdr:rowOff>28575</xdr:rowOff>
    </xdr:from>
    <xdr:to>
      <xdr:col>10</xdr:col>
      <xdr:colOff>1952625</xdr:colOff>
      <xdr:row>16</xdr:row>
      <xdr:rowOff>73446</xdr:rowOff>
    </xdr:to>
    <xdr:pic>
      <xdr:nvPicPr>
        <xdr:cNvPr id="2057" name="Picture 9">
          <a:extLst>
            <a:ext uri="{FF2B5EF4-FFF2-40B4-BE49-F238E27FC236}">
              <a16:creationId xmlns:a16="http://schemas.microsoft.com/office/drawing/2014/main" id="{00000000-0008-0000-0400-00000908000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20907374" y="1781175"/>
          <a:ext cx="1905001" cy="2235621"/>
        </a:xfrm>
        <a:prstGeom prst="rect">
          <a:avLst/>
        </a:prstGeom>
        <a:noFill/>
        <a:ln w="1">
          <a:noFill/>
          <a:miter lim="800000"/>
          <a:headEnd/>
          <a:tailEnd type="none" w="med" len="med"/>
        </a:ln>
        <a:effectLst/>
      </xdr:spPr>
    </xdr:pic>
    <xdr:clientData/>
  </xdr:twoCellAnchor>
  <xdr:twoCellAnchor editAs="oneCell">
    <xdr:from>
      <xdr:col>11</xdr:col>
      <xdr:colOff>9526</xdr:colOff>
      <xdr:row>4</xdr:row>
      <xdr:rowOff>1</xdr:rowOff>
    </xdr:from>
    <xdr:to>
      <xdr:col>12</xdr:col>
      <xdr:colOff>3626</xdr:colOff>
      <xdr:row>19</xdr:row>
      <xdr:rowOff>66675</xdr:rowOff>
    </xdr:to>
    <xdr:pic>
      <xdr:nvPicPr>
        <xdr:cNvPr id="2058" name="Picture 10">
          <a:extLst>
            <a:ext uri="{FF2B5EF4-FFF2-40B4-BE49-F238E27FC236}">
              <a16:creationId xmlns:a16="http://schemas.microsoft.com/office/drawing/2014/main" id="{00000000-0008-0000-0400-00000A08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23040976" y="1752601"/>
          <a:ext cx="1118050" cy="2800349"/>
        </a:xfrm>
        <a:prstGeom prst="rect">
          <a:avLst/>
        </a:prstGeom>
        <a:noFill/>
        <a:ln w="1">
          <a:noFill/>
          <a:miter lim="800000"/>
          <a:headEnd/>
          <a:tailEnd type="none" w="med" len="med"/>
        </a:ln>
        <a:effectLst/>
      </xdr:spPr>
    </xdr:pic>
    <xdr:clientData/>
  </xdr:twoCellAnchor>
  <xdr:twoCellAnchor editAs="oneCell">
    <xdr:from>
      <xdr:col>13</xdr:col>
      <xdr:colOff>9526</xdr:colOff>
      <xdr:row>4</xdr:row>
      <xdr:rowOff>1</xdr:rowOff>
    </xdr:from>
    <xdr:to>
      <xdr:col>14</xdr:col>
      <xdr:colOff>2863</xdr:colOff>
      <xdr:row>19</xdr:row>
      <xdr:rowOff>85725</xdr:rowOff>
    </xdr:to>
    <xdr:pic>
      <xdr:nvPicPr>
        <xdr:cNvPr id="2059" name="Picture 11">
          <a:extLst>
            <a:ext uri="{FF2B5EF4-FFF2-40B4-BE49-F238E27FC236}">
              <a16:creationId xmlns:a16="http://schemas.microsoft.com/office/drawing/2014/main" id="{00000000-0008-0000-0400-00000B08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27060526" y="1752601"/>
          <a:ext cx="1479237" cy="2819399"/>
        </a:xfrm>
        <a:prstGeom prst="rect">
          <a:avLst/>
        </a:prstGeom>
        <a:noFill/>
        <a:ln w="1">
          <a:noFill/>
          <a:miter lim="800000"/>
          <a:headEnd/>
          <a:tailEnd type="none" w="med" len="med"/>
        </a:ln>
        <a:effectLst/>
      </xdr:spPr>
    </xdr:pic>
    <xdr:clientData/>
  </xdr:twoCellAnchor>
  <xdr:twoCellAnchor editAs="oneCell">
    <xdr:from>
      <xdr:col>14</xdr:col>
      <xdr:colOff>9525</xdr:colOff>
      <xdr:row>4</xdr:row>
      <xdr:rowOff>1</xdr:rowOff>
    </xdr:from>
    <xdr:to>
      <xdr:col>14</xdr:col>
      <xdr:colOff>1614577</xdr:colOff>
      <xdr:row>19</xdr:row>
      <xdr:rowOff>85725</xdr:rowOff>
    </xdr:to>
    <xdr:pic>
      <xdr:nvPicPr>
        <xdr:cNvPr id="2060" name="Picture 12">
          <a:extLst>
            <a:ext uri="{FF2B5EF4-FFF2-40B4-BE49-F238E27FC236}">
              <a16:creationId xmlns:a16="http://schemas.microsoft.com/office/drawing/2014/main" id="{00000000-0008-0000-0400-00000C080000}"/>
            </a:ext>
          </a:extLst>
        </xdr:cNvPr>
        <xdr:cNvPicPr>
          <a:picLocks noChangeAspect="1" noChangeArrowheads="1"/>
        </xdr:cNvPicPr>
      </xdr:nvPicPr>
      <xdr:blipFill>
        <a:blip xmlns:r="http://schemas.openxmlformats.org/officeDocument/2006/relationships" r:embed="rId12" cstate="print"/>
        <a:srcRect/>
        <a:stretch>
          <a:fillRect/>
        </a:stretch>
      </xdr:blipFill>
      <xdr:spPr bwMode="auto">
        <a:xfrm>
          <a:off x="28746450" y="1752601"/>
          <a:ext cx="1605052" cy="2819399"/>
        </a:xfrm>
        <a:prstGeom prst="rect">
          <a:avLst/>
        </a:prstGeom>
        <a:noFill/>
        <a:ln w="1">
          <a:noFill/>
          <a:miter lim="800000"/>
          <a:headEnd/>
          <a:tailEnd type="none" w="med" len="med"/>
        </a:ln>
        <a:effectLst/>
      </xdr:spPr>
    </xdr:pic>
    <xdr:clientData/>
  </xdr:twoCellAnchor>
  <xdr:twoCellAnchor editAs="oneCell">
    <xdr:from>
      <xdr:col>15</xdr:col>
      <xdr:colOff>9526</xdr:colOff>
      <xdr:row>4</xdr:row>
      <xdr:rowOff>0</xdr:rowOff>
    </xdr:from>
    <xdr:to>
      <xdr:col>15</xdr:col>
      <xdr:colOff>1318562</xdr:colOff>
      <xdr:row>19</xdr:row>
      <xdr:rowOff>95250</xdr:rowOff>
    </xdr:to>
    <xdr:pic>
      <xdr:nvPicPr>
        <xdr:cNvPr id="2061" name="Picture 13">
          <a:extLst>
            <a:ext uri="{FF2B5EF4-FFF2-40B4-BE49-F238E27FC236}">
              <a16:creationId xmlns:a16="http://schemas.microsoft.com/office/drawing/2014/main" id="{00000000-0008-0000-0400-00000D080000}"/>
            </a:ext>
          </a:extLst>
        </xdr:cNvPr>
        <xdr:cNvPicPr>
          <a:picLocks noChangeAspect="1" noChangeArrowheads="1"/>
        </xdr:cNvPicPr>
      </xdr:nvPicPr>
      <xdr:blipFill>
        <a:blip xmlns:r="http://schemas.openxmlformats.org/officeDocument/2006/relationships" r:embed="rId13" cstate="print"/>
        <a:srcRect/>
        <a:stretch>
          <a:fillRect/>
        </a:stretch>
      </xdr:blipFill>
      <xdr:spPr bwMode="auto">
        <a:xfrm>
          <a:off x="30556201" y="1752600"/>
          <a:ext cx="1309036" cy="2828925"/>
        </a:xfrm>
        <a:prstGeom prst="rect">
          <a:avLst/>
        </a:prstGeom>
        <a:noFill/>
        <a:ln w="1">
          <a:noFill/>
          <a:miter lim="800000"/>
          <a:headEnd/>
          <a:tailEnd type="none" w="med" len="med"/>
        </a:ln>
        <a:effectLst/>
      </xdr:spPr>
    </xdr:pic>
    <xdr:clientData/>
  </xdr:twoCellAnchor>
  <xdr:twoCellAnchor editAs="oneCell">
    <xdr:from>
      <xdr:col>16</xdr:col>
      <xdr:colOff>14602</xdr:colOff>
      <xdr:row>4</xdr:row>
      <xdr:rowOff>28576</xdr:rowOff>
    </xdr:from>
    <xdr:to>
      <xdr:col>16</xdr:col>
      <xdr:colOff>1445455</xdr:colOff>
      <xdr:row>19</xdr:row>
      <xdr:rowOff>95250</xdr:rowOff>
    </xdr:to>
    <xdr:pic>
      <xdr:nvPicPr>
        <xdr:cNvPr id="2062" name="Picture 14">
          <a:extLst>
            <a:ext uri="{FF2B5EF4-FFF2-40B4-BE49-F238E27FC236}">
              <a16:creationId xmlns:a16="http://schemas.microsoft.com/office/drawing/2014/main" id="{00000000-0008-0000-0400-00000E080000}"/>
            </a:ext>
          </a:extLst>
        </xdr:cNvPr>
        <xdr:cNvPicPr>
          <a:picLocks noChangeAspect="1" noChangeArrowheads="1"/>
        </xdr:cNvPicPr>
      </xdr:nvPicPr>
      <xdr:blipFill>
        <a:blip xmlns:r="http://schemas.openxmlformats.org/officeDocument/2006/relationships" r:embed="rId14" cstate="print"/>
        <a:srcRect/>
        <a:stretch>
          <a:fillRect/>
        </a:stretch>
      </xdr:blipFill>
      <xdr:spPr bwMode="auto">
        <a:xfrm>
          <a:off x="32047177" y="1781176"/>
          <a:ext cx="1430853" cy="2800349"/>
        </a:xfrm>
        <a:prstGeom prst="rect">
          <a:avLst/>
        </a:prstGeom>
        <a:noFill/>
        <a:ln w="1">
          <a:noFill/>
          <a:miter lim="800000"/>
          <a:headEnd/>
          <a:tailEnd type="none" w="med" len="med"/>
        </a:ln>
        <a:effectLst/>
      </xdr:spPr>
    </xdr:pic>
    <xdr:clientData/>
  </xdr:twoCellAnchor>
  <xdr:twoCellAnchor editAs="oneCell">
    <xdr:from>
      <xdr:col>17</xdr:col>
      <xdr:colOff>1</xdr:colOff>
      <xdr:row>4</xdr:row>
      <xdr:rowOff>0</xdr:rowOff>
    </xdr:from>
    <xdr:to>
      <xdr:col>17</xdr:col>
      <xdr:colOff>1473673</xdr:colOff>
      <xdr:row>19</xdr:row>
      <xdr:rowOff>95250</xdr:rowOff>
    </xdr:to>
    <xdr:pic>
      <xdr:nvPicPr>
        <xdr:cNvPr id="2063" name="Picture 15">
          <a:extLst>
            <a:ext uri="{FF2B5EF4-FFF2-40B4-BE49-F238E27FC236}">
              <a16:creationId xmlns:a16="http://schemas.microsoft.com/office/drawing/2014/main" id="{00000000-0008-0000-0400-00000F080000}"/>
            </a:ext>
          </a:extLst>
        </xdr:cNvPr>
        <xdr:cNvPicPr>
          <a:picLocks noChangeAspect="1" noChangeArrowheads="1"/>
        </xdr:cNvPicPr>
      </xdr:nvPicPr>
      <xdr:blipFill>
        <a:blip xmlns:r="http://schemas.openxmlformats.org/officeDocument/2006/relationships" r:embed="rId15" cstate="print"/>
        <a:srcRect/>
        <a:stretch>
          <a:fillRect/>
        </a:stretch>
      </xdr:blipFill>
      <xdr:spPr bwMode="auto">
        <a:xfrm>
          <a:off x="33680401" y="1752600"/>
          <a:ext cx="1473672" cy="2828925"/>
        </a:xfrm>
        <a:prstGeom prst="rect">
          <a:avLst/>
        </a:prstGeom>
        <a:noFill/>
        <a:ln w="1">
          <a:noFill/>
          <a:miter lim="800000"/>
          <a:headEnd/>
          <a:tailEnd type="none" w="med" len="med"/>
        </a:ln>
        <a:effectLst/>
      </xdr:spPr>
    </xdr:pic>
    <xdr:clientData/>
  </xdr:twoCellAnchor>
  <xdr:twoCellAnchor editAs="oneCell">
    <xdr:from>
      <xdr:col>28</xdr:col>
      <xdr:colOff>1</xdr:colOff>
      <xdr:row>4</xdr:row>
      <xdr:rowOff>1</xdr:rowOff>
    </xdr:from>
    <xdr:to>
      <xdr:col>28</xdr:col>
      <xdr:colOff>1254710</xdr:colOff>
      <xdr:row>19</xdr:row>
      <xdr:rowOff>123825</xdr:rowOff>
    </xdr:to>
    <xdr:pic>
      <xdr:nvPicPr>
        <xdr:cNvPr id="2064" name="Picture 16">
          <a:extLst>
            <a:ext uri="{FF2B5EF4-FFF2-40B4-BE49-F238E27FC236}">
              <a16:creationId xmlns:a16="http://schemas.microsoft.com/office/drawing/2014/main" id="{00000000-0008-0000-0400-000010080000}"/>
            </a:ext>
          </a:extLst>
        </xdr:cNvPr>
        <xdr:cNvPicPr>
          <a:picLocks noChangeAspect="1" noChangeArrowheads="1"/>
        </xdr:cNvPicPr>
      </xdr:nvPicPr>
      <xdr:blipFill>
        <a:blip xmlns:r="http://schemas.openxmlformats.org/officeDocument/2006/relationships" r:embed="rId16" cstate="print"/>
        <a:srcRect/>
        <a:stretch>
          <a:fillRect/>
        </a:stretch>
      </xdr:blipFill>
      <xdr:spPr bwMode="auto">
        <a:xfrm>
          <a:off x="51396901" y="1752601"/>
          <a:ext cx="1254709" cy="2857499"/>
        </a:xfrm>
        <a:prstGeom prst="rect">
          <a:avLst/>
        </a:prstGeom>
        <a:noFill/>
        <a:ln w="1">
          <a:noFill/>
          <a:miter lim="800000"/>
          <a:headEnd/>
          <a:tailEnd type="none" w="med" len="med"/>
        </a:ln>
        <a:effectLst/>
      </xdr:spPr>
    </xdr:pic>
    <xdr:clientData/>
  </xdr:twoCellAnchor>
  <xdr:twoCellAnchor editAs="oneCell">
    <xdr:from>
      <xdr:col>19</xdr:col>
      <xdr:colOff>19049</xdr:colOff>
      <xdr:row>4</xdr:row>
      <xdr:rowOff>20410</xdr:rowOff>
    </xdr:from>
    <xdr:to>
      <xdr:col>19</xdr:col>
      <xdr:colOff>1533525</xdr:colOff>
      <xdr:row>19</xdr:row>
      <xdr:rowOff>171451</xdr:rowOff>
    </xdr:to>
    <xdr:pic>
      <xdr:nvPicPr>
        <xdr:cNvPr id="2067" name="Picture 19">
          <a:extLst>
            <a:ext uri="{FF2B5EF4-FFF2-40B4-BE49-F238E27FC236}">
              <a16:creationId xmlns:a16="http://schemas.microsoft.com/office/drawing/2014/main" id="{00000000-0008-0000-0400-000013080000}"/>
            </a:ext>
          </a:extLst>
        </xdr:cNvPr>
        <xdr:cNvPicPr>
          <a:picLocks noChangeAspect="1" noChangeArrowheads="1"/>
        </xdr:cNvPicPr>
      </xdr:nvPicPr>
      <xdr:blipFill>
        <a:blip xmlns:r="http://schemas.openxmlformats.org/officeDocument/2006/relationships" r:embed="rId17" cstate="print"/>
        <a:srcRect/>
        <a:stretch>
          <a:fillRect/>
        </a:stretch>
      </xdr:blipFill>
      <xdr:spPr bwMode="auto">
        <a:xfrm>
          <a:off x="33347024" y="1773010"/>
          <a:ext cx="1514476" cy="2884716"/>
        </a:xfrm>
        <a:prstGeom prst="rect">
          <a:avLst/>
        </a:prstGeom>
        <a:noFill/>
        <a:ln w="1">
          <a:noFill/>
          <a:miter lim="800000"/>
          <a:headEnd/>
          <a:tailEnd type="none" w="med" len="med"/>
        </a:ln>
        <a:effectLst/>
      </xdr:spPr>
    </xdr:pic>
    <xdr:clientData/>
  </xdr:twoCellAnchor>
  <xdr:twoCellAnchor editAs="oneCell">
    <xdr:from>
      <xdr:col>22</xdr:col>
      <xdr:colOff>1</xdr:colOff>
      <xdr:row>4</xdr:row>
      <xdr:rowOff>1</xdr:rowOff>
    </xdr:from>
    <xdr:to>
      <xdr:col>22</xdr:col>
      <xdr:colOff>1286515</xdr:colOff>
      <xdr:row>19</xdr:row>
      <xdr:rowOff>57150</xdr:rowOff>
    </xdr:to>
    <xdr:pic>
      <xdr:nvPicPr>
        <xdr:cNvPr id="2068" name="Picture 20">
          <a:extLst>
            <a:ext uri="{FF2B5EF4-FFF2-40B4-BE49-F238E27FC236}">
              <a16:creationId xmlns:a16="http://schemas.microsoft.com/office/drawing/2014/main" id="{00000000-0008-0000-0400-000014080000}"/>
            </a:ext>
          </a:extLst>
        </xdr:cNvPr>
        <xdr:cNvPicPr>
          <a:picLocks noChangeAspect="1" noChangeArrowheads="1"/>
        </xdr:cNvPicPr>
      </xdr:nvPicPr>
      <xdr:blipFill>
        <a:blip xmlns:r="http://schemas.openxmlformats.org/officeDocument/2006/relationships" r:embed="rId18" cstate="print"/>
        <a:srcRect/>
        <a:stretch>
          <a:fillRect/>
        </a:stretch>
      </xdr:blipFill>
      <xdr:spPr bwMode="auto">
        <a:xfrm>
          <a:off x="41205151" y="1752601"/>
          <a:ext cx="1286514" cy="2790824"/>
        </a:xfrm>
        <a:prstGeom prst="rect">
          <a:avLst/>
        </a:prstGeom>
        <a:noFill/>
        <a:ln w="1">
          <a:noFill/>
          <a:miter lim="800000"/>
          <a:headEnd/>
          <a:tailEnd type="none" w="med" len="med"/>
        </a:ln>
        <a:effectLst/>
      </xdr:spPr>
    </xdr:pic>
    <xdr:clientData/>
  </xdr:twoCellAnchor>
  <xdr:twoCellAnchor editAs="oneCell">
    <xdr:from>
      <xdr:col>23</xdr:col>
      <xdr:colOff>9812</xdr:colOff>
      <xdr:row>4</xdr:row>
      <xdr:rowOff>9526</xdr:rowOff>
    </xdr:from>
    <xdr:to>
      <xdr:col>23</xdr:col>
      <xdr:colOff>1799702</xdr:colOff>
      <xdr:row>19</xdr:row>
      <xdr:rowOff>85725</xdr:rowOff>
    </xdr:to>
    <xdr:pic>
      <xdr:nvPicPr>
        <xdr:cNvPr id="2069" name="Picture 21">
          <a:extLst>
            <a:ext uri="{FF2B5EF4-FFF2-40B4-BE49-F238E27FC236}">
              <a16:creationId xmlns:a16="http://schemas.microsoft.com/office/drawing/2014/main" id="{00000000-0008-0000-0400-000015080000}"/>
            </a:ext>
          </a:extLst>
        </xdr:cNvPr>
        <xdr:cNvPicPr>
          <a:picLocks noChangeAspect="1" noChangeArrowheads="1"/>
        </xdr:cNvPicPr>
      </xdr:nvPicPr>
      <xdr:blipFill>
        <a:blip xmlns:r="http://schemas.openxmlformats.org/officeDocument/2006/relationships" r:embed="rId19" cstate="print"/>
        <a:srcRect/>
        <a:stretch>
          <a:fillRect/>
        </a:stretch>
      </xdr:blipFill>
      <xdr:spPr bwMode="auto">
        <a:xfrm>
          <a:off x="42681812" y="1762126"/>
          <a:ext cx="1789890" cy="2809874"/>
        </a:xfrm>
        <a:prstGeom prst="rect">
          <a:avLst/>
        </a:prstGeom>
        <a:noFill/>
        <a:ln w="1">
          <a:noFill/>
          <a:miter lim="800000"/>
          <a:headEnd/>
          <a:tailEnd type="none" w="med" len="med"/>
        </a:ln>
        <a:effectLst/>
      </xdr:spPr>
    </xdr:pic>
    <xdr:clientData/>
  </xdr:twoCellAnchor>
  <xdr:twoCellAnchor editAs="oneCell">
    <xdr:from>
      <xdr:col>6</xdr:col>
      <xdr:colOff>57151</xdr:colOff>
      <xdr:row>21</xdr:row>
      <xdr:rowOff>19051</xdr:rowOff>
    </xdr:from>
    <xdr:to>
      <xdr:col>6</xdr:col>
      <xdr:colOff>1308239</xdr:colOff>
      <xdr:row>34</xdr:row>
      <xdr:rowOff>38100</xdr:rowOff>
    </xdr:to>
    <xdr:pic>
      <xdr:nvPicPr>
        <xdr:cNvPr id="2070" name="Picture 22">
          <a:extLst>
            <a:ext uri="{FF2B5EF4-FFF2-40B4-BE49-F238E27FC236}">
              <a16:creationId xmlns:a16="http://schemas.microsoft.com/office/drawing/2014/main" id="{00000000-0008-0000-0400-000016080000}"/>
            </a:ext>
          </a:extLst>
        </xdr:cNvPr>
        <xdr:cNvPicPr>
          <a:picLocks noChangeAspect="1" noChangeArrowheads="1"/>
        </xdr:cNvPicPr>
      </xdr:nvPicPr>
      <xdr:blipFill>
        <a:blip xmlns:r="http://schemas.openxmlformats.org/officeDocument/2006/relationships" r:embed="rId20" cstate="print"/>
        <a:srcRect/>
        <a:stretch>
          <a:fillRect/>
        </a:stretch>
      </xdr:blipFill>
      <xdr:spPr bwMode="auto">
        <a:xfrm>
          <a:off x="13087351" y="4914901"/>
          <a:ext cx="1251088" cy="2524124"/>
        </a:xfrm>
        <a:prstGeom prst="rect">
          <a:avLst/>
        </a:prstGeom>
        <a:noFill/>
        <a:ln w="25400">
          <a:solidFill>
            <a:schemeClr val="tx1"/>
          </a:solidFill>
          <a:miter lim="800000"/>
          <a:headEnd/>
          <a:tailEnd type="none" w="med" len="med"/>
        </a:ln>
        <a:effectLst/>
      </xdr:spPr>
    </xdr:pic>
    <xdr:clientData/>
  </xdr:twoCellAnchor>
  <xdr:twoCellAnchor editAs="oneCell">
    <xdr:from>
      <xdr:col>11</xdr:col>
      <xdr:colOff>38100</xdr:colOff>
      <xdr:row>21</xdr:row>
      <xdr:rowOff>19050</xdr:rowOff>
    </xdr:from>
    <xdr:to>
      <xdr:col>11</xdr:col>
      <xdr:colOff>1100484</xdr:colOff>
      <xdr:row>32</xdr:row>
      <xdr:rowOff>85725</xdr:rowOff>
    </xdr:to>
    <xdr:pic>
      <xdr:nvPicPr>
        <xdr:cNvPr id="2071" name="Picture 23">
          <a:extLst>
            <a:ext uri="{FF2B5EF4-FFF2-40B4-BE49-F238E27FC236}">
              <a16:creationId xmlns:a16="http://schemas.microsoft.com/office/drawing/2014/main" id="{00000000-0008-0000-0400-000017080000}"/>
            </a:ext>
          </a:extLst>
        </xdr:cNvPr>
        <xdr:cNvPicPr>
          <a:picLocks noChangeAspect="1" noChangeArrowheads="1"/>
        </xdr:cNvPicPr>
      </xdr:nvPicPr>
      <xdr:blipFill>
        <a:blip xmlns:r="http://schemas.openxmlformats.org/officeDocument/2006/relationships" r:embed="rId21" cstate="print"/>
        <a:srcRect/>
        <a:stretch>
          <a:fillRect/>
        </a:stretch>
      </xdr:blipFill>
      <xdr:spPr bwMode="auto">
        <a:xfrm>
          <a:off x="20955000" y="4914900"/>
          <a:ext cx="1062384" cy="2162175"/>
        </a:xfrm>
        <a:prstGeom prst="rect">
          <a:avLst/>
        </a:prstGeom>
        <a:noFill/>
        <a:ln w="1">
          <a:noFill/>
          <a:miter lim="800000"/>
          <a:headEnd/>
          <a:tailEnd type="none" w="med" len="med"/>
        </a:ln>
        <a:effectLst/>
      </xdr:spPr>
    </xdr:pic>
    <xdr:clientData/>
  </xdr:twoCellAnchor>
  <xdr:twoCellAnchor editAs="oneCell">
    <xdr:from>
      <xdr:col>29</xdr:col>
      <xdr:colOff>1</xdr:colOff>
      <xdr:row>4</xdr:row>
      <xdr:rowOff>2</xdr:rowOff>
    </xdr:from>
    <xdr:to>
      <xdr:col>29</xdr:col>
      <xdr:colOff>1257670</xdr:colOff>
      <xdr:row>19</xdr:row>
      <xdr:rowOff>76201</xdr:rowOff>
    </xdr:to>
    <xdr:pic>
      <xdr:nvPicPr>
        <xdr:cNvPr id="2072" name="Picture 24">
          <a:extLst>
            <a:ext uri="{FF2B5EF4-FFF2-40B4-BE49-F238E27FC236}">
              <a16:creationId xmlns:a16="http://schemas.microsoft.com/office/drawing/2014/main" id="{00000000-0008-0000-0400-000018080000}"/>
            </a:ext>
          </a:extLst>
        </xdr:cNvPr>
        <xdr:cNvPicPr>
          <a:picLocks noChangeAspect="1" noChangeArrowheads="1"/>
        </xdr:cNvPicPr>
      </xdr:nvPicPr>
      <xdr:blipFill>
        <a:blip xmlns:r="http://schemas.openxmlformats.org/officeDocument/2006/relationships" r:embed="rId22" cstate="print"/>
        <a:srcRect/>
        <a:stretch>
          <a:fillRect/>
        </a:stretch>
      </xdr:blipFill>
      <xdr:spPr bwMode="auto">
        <a:xfrm>
          <a:off x="52806601" y="1752602"/>
          <a:ext cx="1257669" cy="2809874"/>
        </a:xfrm>
        <a:prstGeom prst="rect">
          <a:avLst/>
        </a:prstGeom>
        <a:noFill/>
        <a:ln w="1">
          <a:noFill/>
          <a:miter lim="800000"/>
          <a:headEnd/>
          <a:tailEnd type="none" w="med" len="med"/>
        </a:ln>
        <a:effectLst/>
      </xdr:spPr>
    </xdr:pic>
    <xdr:clientData/>
  </xdr:twoCellAnchor>
  <xdr:twoCellAnchor editAs="oneCell">
    <xdr:from>
      <xdr:col>26</xdr:col>
      <xdr:colOff>0</xdr:colOff>
      <xdr:row>4</xdr:row>
      <xdr:rowOff>2</xdr:rowOff>
    </xdr:from>
    <xdr:to>
      <xdr:col>26</xdr:col>
      <xdr:colOff>1087129</xdr:colOff>
      <xdr:row>19</xdr:row>
      <xdr:rowOff>114301</xdr:rowOff>
    </xdr:to>
    <xdr:pic>
      <xdr:nvPicPr>
        <xdr:cNvPr id="2075" name="Picture 27">
          <a:extLst>
            <a:ext uri="{FF2B5EF4-FFF2-40B4-BE49-F238E27FC236}">
              <a16:creationId xmlns:a16="http://schemas.microsoft.com/office/drawing/2014/main" id="{00000000-0008-0000-0400-00001B080000}"/>
            </a:ext>
          </a:extLst>
        </xdr:cNvPr>
        <xdr:cNvPicPr>
          <a:picLocks noChangeAspect="1" noChangeArrowheads="1"/>
        </xdr:cNvPicPr>
      </xdr:nvPicPr>
      <xdr:blipFill>
        <a:blip xmlns:r="http://schemas.openxmlformats.org/officeDocument/2006/relationships" r:embed="rId23" cstate="print"/>
        <a:srcRect/>
        <a:stretch>
          <a:fillRect/>
        </a:stretch>
      </xdr:blipFill>
      <xdr:spPr bwMode="auto">
        <a:xfrm>
          <a:off x="48729900" y="1752602"/>
          <a:ext cx="1087129" cy="2847974"/>
        </a:xfrm>
        <a:prstGeom prst="rect">
          <a:avLst/>
        </a:prstGeom>
        <a:noFill/>
        <a:ln w="1">
          <a:noFill/>
          <a:miter lim="800000"/>
          <a:headEnd/>
          <a:tailEnd type="none" w="med" len="med"/>
        </a:ln>
        <a:effectLst/>
      </xdr:spPr>
    </xdr:pic>
    <xdr:clientData/>
  </xdr:twoCellAnchor>
  <xdr:twoCellAnchor editAs="oneCell">
    <xdr:from>
      <xdr:col>27</xdr:col>
      <xdr:colOff>1</xdr:colOff>
      <xdr:row>4</xdr:row>
      <xdr:rowOff>1</xdr:rowOff>
    </xdr:from>
    <xdr:to>
      <xdr:col>27</xdr:col>
      <xdr:colOff>1255557</xdr:colOff>
      <xdr:row>19</xdr:row>
      <xdr:rowOff>66675</xdr:rowOff>
    </xdr:to>
    <xdr:pic>
      <xdr:nvPicPr>
        <xdr:cNvPr id="2076" name="Picture 28">
          <a:extLst>
            <a:ext uri="{FF2B5EF4-FFF2-40B4-BE49-F238E27FC236}">
              <a16:creationId xmlns:a16="http://schemas.microsoft.com/office/drawing/2014/main" id="{00000000-0008-0000-0400-00001C080000}"/>
            </a:ext>
          </a:extLst>
        </xdr:cNvPr>
        <xdr:cNvPicPr>
          <a:picLocks noChangeAspect="1" noChangeArrowheads="1"/>
        </xdr:cNvPicPr>
      </xdr:nvPicPr>
      <xdr:blipFill>
        <a:blip xmlns:r="http://schemas.openxmlformats.org/officeDocument/2006/relationships" r:embed="rId24" cstate="print"/>
        <a:srcRect/>
        <a:stretch>
          <a:fillRect/>
        </a:stretch>
      </xdr:blipFill>
      <xdr:spPr bwMode="auto">
        <a:xfrm>
          <a:off x="49958626" y="1752601"/>
          <a:ext cx="1255556" cy="2800349"/>
        </a:xfrm>
        <a:prstGeom prst="rect">
          <a:avLst/>
        </a:prstGeom>
        <a:noFill/>
        <a:ln w="1">
          <a:noFill/>
          <a:miter lim="800000"/>
          <a:headEnd/>
          <a:tailEnd type="none" w="med" len="med"/>
        </a:ln>
        <a:effectLst/>
      </xdr:spPr>
    </xdr:pic>
    <xdr:clientData/>
  </xdr:twoCellAnchor>
  <xdr:twoCellAnchor>
    <xdr:from>
      <xdr:col>8</xdr:col>
      <xdr:colOff>28575</xdr:colOff>
      <xdr:row>20</xdr:row>
      <xdr:rowOff>38100</xdr:rowOff>
    </xdr:from>
    <xdr:to>
      <xdr:col>8</xdr:col>
      <xdr:colOff>123825</xdr:colOff>
      <xdr:row>21</xdr:row>
      <xdr:rowOff>95250</xdr:rowOff>
    </xdr:to>
    <xdr:sp macro="" textlink="">
      <xdr:nvSpPr>
        <xdr:cNvPr id="30" name="Up Arrow 29">
          <a:extLst>
            <a:ext uri="{FF2B5EF4-FFF2-40B4-BE49-F238E27FC236}">
              <a16:creationId xmlns:a16="http://schemas.microsoft.com/office/drawing/2014/main" id="{00000000-0008-0000-0400-00001E000000}"/>
            </a:ext>
          </a:extLst>
        </xdr:cNvPr>
        <xdr:cNvSpPr/>
      </xdr:nvSpPr>
      <xdr:spPr>
        <a:xfrm>
          <a:off x="16230600" y="4705350"/>
          <a:ext cx="95250" cy="285750"/>
        </a:xfrm>
        <a:prstGeom prst="upArrow">
          <a:avLst/>
        </a:prstGeom>
        <a:solidFill>
          <a:schemeClr val="accent1"/>
        </a:solid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n-US" sz="1100"/>
        </a:p>
      </xdr:txBody>
    </xdr:sp>
    <xdr:clientData/>
  </xdr:twoCellAnchor>
  <xdr:twoCellAnchor>
    <xdr:from>
      <xdr:col>8</xdr:col>
      <xdr:colOff>1152525</xdr:colOff>
      <xdr:row>20</xdr:row>
      <xdr:rowOff>38100</xdr:rowOff>
    </xdr:from>
    <xdr:to>
      <xdr:col>8</xdr:col>
      <xdr:colOff>1247775</xdr:colOff>
      <xdr:row>21</xdr:row>
      <xdr:rowOff>95250</xdr:rowOff>
    </xdr:to>
    <xdr:sp macro="" textlink="">
      <xdr:nvSpPr>
        <xdr:cNvPr id="31" name="Up Arrow 30">
          <a:extLst>
            <a:ext uri="{FF2B5EF4-FFF2-40B4-BE49-F238E27FC236}">
              <a16:creationId xmlns:a16="http://schemas.microsoft.com/office/drawing/2014/main" id="{00000000-0008-0000-0400-00001F000000}"/>
            </a:ext>
          </a:extLst>
        </xdr:cNvPr>
        <xdr:cNvSpPr/>
      </xdr:nvSpPr>
      <xdr:spPr>
        <a:xfrm>
          <a:off x="17354550" y="4705350"/>
          <a:ext cx="95250" cy="285750"/>
        </a:xfrm>
        <a:prstGeom prst="upArrow">
          <a:avLst/>
        </a:prstGeom>
        <a:solidFill>
          <a:schemeClr val="accent1"/>
        </a:solid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n-US" sz="1100"/>
        </a:p>
      </xdr:txBody>
    </xdr:sp>
    <xdr:clientData/>
  </xdr:twoCellAnchor>
  <xdr:twoCellAnchor>
    <xdr:from>
      <xdr:col>10</xdr:col>
      <xdr:colOff>304800</xdr:colOff>
      <xdr:row>20</xdr:row>
      <xdr:rowOff>114300</xdr:rowOff>
    </xdr:from>
    <xdr:to>
      <xdr:col>10</xdr:col>
      <xdr:colOff>400050</xdr:colOff>
      <xdr:row>21</xdr:row>
      <xdr:rowOff>171450</xdr:rowOff>
    </xdr:to>
    <xdr:sp macro="" textlink="">
      <xdr:nvSpPr>
        <xdr:cNvPr id="32" name="Up Arrow 31">
          <a:extLst>
            <a:ext uri="{FF2B5EF4-FFF2-40B4-BE49-F238E27FC236}">
              <a16:creationId xmlns:a16="http://schemas.microsoft.com/office/drawing/2014/main" id="{00000000-0008-0000-0400-000020000000}"/>
            </a:ext>
          </a:extLst>
        </xdr:cNvPr>
        <xdr:cNvSpPr/>
      </xdr:nvSpPr>
      <xdr:spPr>
        <a:xfrm>
          <a:off x="19221450" y="4781550"/>
          <a:ext cx="95250" cy="285750"/>
        </a:xfrm>
        <a:prstGeom prst="upArrow">
          <a:avLst/>
        </a:prstGeom>
        <a:solidFill>
          <a:schemeClr val="accent1"/>
        </a:solid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n-US" sz="1100"/>
        </a:p>
      </xdr:txBody>
    </xdr:sp>
    <xdr:clientData/>
  </xdr:twoCellAnchor>
  <xdr:twoCellAnchor>
    <xdr:from>
      <xdr:col>10</xdr:col>
      <xdr:colOff>1600200</xdr:colOff>
      <xdr:row>20</xdr:row>
      <xdr:rowOff>114300</xdr:rowOff>
    </xdr:from>
    <xdr:to>
      <xdr:col>10</xdr:col>
      <xdr:colOff>1695450</xdr:colOff>
      <xdr:row>21</xdr:row>
      <xdr:rowOff>171450</xdr:rowOff>
    </xdr:to>
    <xdr:sp macro="" textlink="">
      <xdr:nvSpPr>
        <xdr:cNvPr id="33" name="Up Arrow 32">
          <a:extLst>
            <a:ext uri="{FF2B5EF4-FFF2-40B4-BE49-F238E27FC236}">
              <a16:creationId xmlns:a16="http://schemas.microsoft.com/office/drawing/2014/main" id="{00000000-0008-0000-0400-000021000000}"/>
            </a:ext>
          </a:extLst>
        </xdr:cNvPr>
        <xdr:cNvSpPr/>
      </xdr:nvSpPr>
      <xdr:spPr>
        <a:xfrm>
          <a:off x="20516850" y="4781550"/>
          <a:ext cx="95250" cy="285750"/>
        </a:xfrm>
        <a:prstGeom prst="upArrow">
          <a:avLst/>
        </a:prstGeom>
        <a:solidFill>
          <a:schemeClr val="accent1"/>
        </a:solid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n-US" sz="1100"/>
        </a:p>
      </xdr:txBody>
    </xdr:sp>
    <xdr:clientData/>
  </xdr:twoCellAnchor>
  <xdr:twoCellAnchor editAs="oneCell">
    <xdr:from>
      <xdr:col>21</xdr:col>
      <xdr:colOff>19055</xdr:colOff>
      <xdr:row>4</xdr:row>
      <xdr:rowOff>19053</xdr:rowOff>
    </xdr:from>
    <xdr:to>
      <xdr:col>21</xdr:col>
      <xdr:colOff>1475095</xdr:colOff>
      <xdr:row>19</xdr:row>
      <xdr:rowOff>171450</xdr:rowOff>
    </xdr:to>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rotWithShape="1">
        <a:blip xmlns:r="http://schemas.openxmlformats.org/officeDocument/2006/relationships" r:embed="rId25"/>
        <a:srcRect b="18984"/>
        <a:stretch/>
      </xdr:blipFill>
      <xdr:spPr>
        <a:xfrm>
          <a:off x="36337880" y="1771653"/>
          <a:ext cx="1456040" cy="2886072"/>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20</xdr:col>
          <xdr:colOff>28575</xdr:colOff>
          <xdr:row>4</xdr:row>
          <xdr:rowOff>28575</xdr:rowOff>
        </xdr:from>
        <xdr:to>
          <xdr:col>20</xdr:col>
          <xdr:colOff>76200</xdr:colOff>
          <xdr:row>4</xdr:row>
          <xdr:rowOff>142875</xdr:rowOff>
        </xdr:to>
        <xdr:sp macro="" textlink="">
          <xdr:nvSpPr>
            <xdr:cNvPr id="2" name="Object 2" hidden="1">
              <a:extLst>
                <a:ext uri="{63B3BB69-23CF-44E3-9099-C40C66FF867C}">
                  <a14:compatExt spid="_x0000_s2050"/>
                </a:ext>
                <a:ext uri="{FF2B5EF4-FFF2-40B4-BE49-F238E27FC236}">
                  <a16:creationId xmlns:a16="http://schemas.microsoft.com/office/drawing/2014/main" id="{00000000-0008-0000-0400-0000020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18</xdr:col>
          <xdr:colOff>19050</xdr:colOff>
          <xdr:row>4</xdr:row>
          <xdr:rowOff>19050</xdr:rowOff>
        </xdr:from>
        <xdr:to>
          <xdr:col>18</xdr:col>
          <xdr:colOff>66675</xdr:colOff>
          <xdr:row>4</xdr:row>
          <xdr:rowOff>142875</xdr:rowOff>
        </xdr:to>
        <xdr:sp macro="" textlink="">
          <xdr:nvSpPr>
            <xdr:cNvPr id="4" name="Object 3" hidden="1">
              <a:extLst>
                <a:ext uri="{63B3BB69-23CF-44E3-9099-C40C66FF867C}">
                  <a14:compatExt spid="_x0000_s2051"/>
                </a:ext>
                <a:ext uri="{FF2B5EF4-FFF2-40B4-BE49-F238E27FC236}">
                  <a16:creationId xmlns:a16="http://schemas.microsoft.com/office/drawing/2014/main" id="{00000000-0008-0000-0400-0000040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25</xdr:col>
      <xdr:colOff>19053</xdr:colOff>
      <xdr:row>4</xdr:row>
      <xdr:rowOff>9527</xdr:rowOff>
    </xdr:from>
    <xdr:to>
      <xdr:col>25</xdr:col>
      <xdr:colOff>1170506</xdr:colOff>
      <xdr:row>19</xdr:row>
      <xdr:rowOff>171450</xdr:rowOff>
    </xdr:to>
    <xdr:pic>
      <xdr:nvPicPr>
        <xdr:cNvPr id="7" name="Picture 6">
          <a:extLst>
            <a:ext uri="{FF2B5EF4-FFF2-40B4-BE49-F238E27FC236}">
              <a16:creationId xmlns:a16="http://schemas.microsoft.com/office/drawing/2014/main" id="{00000000-0008-0000-0400-000007000000}"/>
            </a:ext>
          </a:extLst>
        </xdr:cNvPr>
        <xdr:cNvPicPr>
          <a:picLocks noChangeAspect="1"/>
        </xdr:cNvPicPr>
      </xdr:nvPicPr>
      <xdr:blipFill>
        <a:blip xmlns:r="http://schemas.openxmlformats.org/officeDocument/2006/relationships" r:embed="rId26"/>
        <a:stretch>
          <a:fillRect/>
        </a:stretch>
      </xdr:blipFill>
      <xdr:spPr>
        <a:xfrm>
          <a:off x="41195628" y="1762127"/>
          <a:ext cx="1151453" cy="2895598"/>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24</xdr:col>
          <xdr:colOff>19050</xdr:colOff>
          <xdr:row>4</xdr:row>
          <xdr:rowOff>19050</xdr:rowOff>
        </xdr:from>
        <xdr:to>
          <xdr:col>24</xdr:col>
          <xdr:colOff>57150</xdr:colOff>
          <xdr:row>4</xdr:row>
          <xdr:rowOff>114300</xdr:rowOff>
        </xdr:to>
        <xdr:sp macro="" textlink="">
          <xdr:nvSpPr>
            <xdr:cNvPr id="5" name="Object 7" hidden="1">
              <a:extLst>
                <a:ext uri="{63B3BB69-23CF-44E3-9099-C40C66FF867C}">
                  <a14:compatExt spid="_x0000_s2055"/>
                </a:ext>
                <a:ext uri="{FF2B5EF4-FFF2-40B4-BE49-F238E27FC236}">
                  <a16:creationId xmlns:a16="http://schemas.microsoft.com/office/drawing/2014/main" id="{00000000-0008-0000-0400-0000050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editAs="oneCell">
    <xdr:from>
      <xdr:col>0</xdr:col>
      <xdr:colOff>1</xdr:colOff>
      <xdr:row>4</xdr:row>
      <xdr:rowOff>1</xdr:rowOff>
    </xdr:from>
    <xdr:to>
      <xdr:col>1</xdr:col>
      <xdr:colOff>685801</xdr:colOff>
      <xdr:row>9</xdr:row>
      <xdr:rowOff>174923</xdr:rowOff>
    </xdr:to>
    <xdr:pic>
      <xdr:nvPicPr>
        <xdr:cNvPr id="2" name="Picture 1">
          <a:extLst>
            <a:ext uri="{FF2B5EF4-FFF2-40B4-BE49-F238E27FC236}">
              <a16:creationId xmlns:a16="http://schemas.microsoft.com/office/drawing/2014/main" id="{00000000-0008-0000-0500-000002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000251" y="1752601"/>
          <a:ext cx="2686050" cy="1203622"/>
        </a:xfrm>
        <a:prstGeom prst="rect">
          <a:avLst/>
        </a:prstGeom>
        <a:noFill/>
        <a:ln w="1">
          <a:noFill/>
          <a:miter lim="800000"/>
          <a:headEnd/>
          <a:tailEnd type="none" w="med" len="med"/>
        </a:ln>
        <a:effectLst/>
      </xdr:spPr>
    </xdr:pic>
    <xdr:clientData/>
  </xdr:twoCellAnchor>
  <xdr:twoCellAnchor editAs="oneCell">
    <xdr:from>
      <xdr:col>1</xdr:col>
      <xdr:colOff>8277</xdr:colOff>
      <xdr:row>4</xdr:row>
      <xdr:rowOff>57150</xdr:rowOff>
    </xdr:from>
    <xdr:to>
      <xdr:col>1</xdr:col>
      <xdr:colOff>2543174</xdr:colOff>
      <xdr:row>18</xdr:row>
      <xdr:rowOff>102727</xdr:rowOff>
    </xdr:to>
    <xdr:pic>
      <xdr:nvPicPr>
        <xdr:cNvPr id="3" name="Picture 2">
          <a:extLst>
            <a:ext uri="{FF2B5EF4-FFF2-40B4-BE49-F238E27FC236}">
              <a16:creationId xmlns:a16="http://schemas.microsoft.com/office/drawing/2014/main" id="{00000000-0008-0000-0500-000003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723152" y="1809750"/>
          <a:ext cx="2534897" cy="2712577"/>
        </a:xfrm>
        <a:prstGeom prst="rect">
          <a:avLst/>
        </a:prstGeom>
        <a:noFill/>
        <a:ln w="1">
          <a:noFill/>
          <a:miter lim="800000"/>
          <a:headEnd/>
          <a:tailEnd type="none" w="med" len="med"/>
        </a:ln>
        <a:effectLst/>
      </xdr:spPr>
    </xdr:pic>
    <xdr:clientData/>
  </xdr:twoCellAnchor>
  <xdr:twoCellAnchor editAs="oneCell">
    <xdr:from>
      <xdr:col>2</xdr:col>
      <xdr:colOff>19050</xdr:colOff>
      <xdr:row>4</xdr:row>
      <xdr:rowOff>1</xdr:rowOff>
    </xdr:from>
    <xdr:to>
      <xdr:col>2</xdr:col>
      <xdr:colOff>2040294</xdr:colOff>
      <xdr:row>18</xdr:row>
      <xdr:rowOff>76201</xdr:rowOff>
    </xdr:to>
    <xdr:pic>
      <xdr:nvPicPr>
        <xdr:cNvPr id="4" name="Picture 3">
          <a:extLst>
            <a:ext uri="{FF2B5EF4-FFF2-40B4-BE49-F238E27FC236}">
              <a16:creationId xmlns:a16="http://schemas.microsoft.com/office/drawing/2014/main" id="{00000000-0008-0000-0500-000004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7296150" y="1752601"/>
          <a:ext cx="2021244" cy="2743200"/>
        </a:xfrm>
        <a:prstGeom prst="rect">
          <a:avLst/>
        </a:prstGeom>
        <a:noFill/>
        <a:ln w="1">
          <a:noFill/>
          <a:miter lim="800000"/>
          <a:headEnd/>
          <a:tailEnd type="none" w="med" len="med"/>
        </a:ln>
        <a:effectLst/>
      </xdr:spPr>
    </xdr:pic>
    <xdr:clientData/>
  </xdr:twoCellAnchor>
  <xdr:twoCellAnchor editAs="oneCell">
    <xdr:from>
      <xdr:col>4</xdr:col>
      <xdr:colOff>19052</xdr:colOff>
      <xdr:row>4</xdr:row>
      <xdr:rowOff>2</xdr:rowOff>
    </xdr:from>
    <xdr:to>
      <xdr:col>4</xdr:col>
      <xdr:colOff>1495425</xdr:colOff>
      <xdr:row>18</xdr:row>
      <xdr:rowOff>118611</xdr:rowOff>
    </xdr:to>
    <xdr:pic>
      <xdr:nvPicPr>
        <xdr:cNvPr id="5" name="Picture 4">
          <a:extLst>
            <a:ext uri="{FF2B5EF4-FFF2-40B4-BE49-F238E27FC236}">
              <a16:creationId xmlns:a16="http://schemas.microsoft.com/office/drawing/2014/main" id="{00000000-0008-0000-0500-000005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11506202" y="1752602"/>
          <a:ext cx="1476373" cy="2785609"/>
        </a:xfrm>
        <a:prstGeom prst="rect">
          <a:avLst/>
        </a:prstGeom>
        <a:noFill/>
        <a:ln w="1">
          <a:noFill/>
          <a:miter lim="800000"/>
          <a:headEnd/>
          <a:tailEnd type="none" w="med" len="med"/>
        </a:ln>
        <a:effectLst/>
      </xdr:spPr>
    </xdr:pic>
    <xdr:clientData/>
  </xdr:twoCellAnchor>
  <xdr:twoCellAnchor editAs="oneCell">
    <xdr:from>
      <xdr:col>5</xdr:col>
      <xdr:colOff>19051</xdr:colOff>
      <xdr:row>3</xdr:row>
      <xdr:rowOff>257174</xdr:rowOff>
    </xdr:from>
    <xdr:to>
      <xdr:col>5</xdr:col>
      <xdr:colOff>1327485</xdr:colOff>
      <xdr:row>18</xdr:row>
      <xdr:rowOff>85725</xdr:rowOff>
    </xdr:to>
    <xdr:pic>
      <xdr:nvPicPr>
        <xdr:cNvPr id="6" name="Picture 5">
          <a:extLst>
            <a:ext uri="{FF2B5EF4-FFF2-40B4-BE49-F238E27FC236}">
              <a16:creationId xmlns:a16="http://schemas.microsoft.com/office/drawing/2014/main" id="{00000000-0008-0000-0500-00000600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13049251" y="1743074"/>
          <a:ext cx="1308434" cy="2762251"/>
        </a:xfrm>
        <a:prstGeom prst="rect">
          <a:avLst/>
        </a:prstGeom>
        <a:noFill/>
        <a:ln w="1">
          <a:noFill/>
          <a:miter lim="800000"/>
          <a:headEnd/>
          <a:tailEnd type="none" w="med" len="med"/>
        </a:ln>
        <a:effectLst/>
      </xdr:spPr>
    </xdr:pic>
    <xdr:clientData/>
  </xdr:twoCellAnchor>
  <xdr:twoCellAnchor editAs="oneCell">
    <xdr:from>
      <xdr:col>6</xdr:col>
      <xdr:colOff>9530</xdr:colOff>
      <xdr:row>4</xdr:row>
      <xdr:rowOff>5</xdr:rowOff>
    </xdr:from>
    <xdr:to>
      <xdr:col>7</xdr:col>
      <xdr:colOff>402240</xdr:colOff>
      <xdr:row>18</xdr:row>
      <xdr:rowOff>133351</xdr:rowOff>
    </xdr:to>
    <xdr:pic>
      <xdr:nvPicPr>
        <xdr:cNvPr id="7" name="Picture 6">
          <a:extLst>
            <a:ext uri="{FF2B5EF4-FFF2-40B4-BE49-F238E27FC236}">
              <a16:creationId xmlns:a16="http://schemas.microsoft.com/office/drawing/2014/main" id="{00000000-0008-0000-0500-00000700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14411330" y="1752605"/>
          <a:ext cx="1764310" cy="2800346"/>
        </a:xfrm>
        <a:prstGeom prst="rect">
          <a:avLst/>
        </a:prstGeom>
        <a:noFill/>
        <a:ln w="1">
          <a:noFill/>
          <a:miter lim="800000"/>
          <a:headEnd/>
          <a:tailEnd type="none" w="med" len="med"/>
        </a:ln>
        <a:effectLst/>
      </xdr:spPr>
    </xdr:pic>
    <xdr:clientData/>
  </xdr:twoCellAnchor>
  <xdr:twoCellAnchor editAs="oneCell">
    <xdr:from>
      <xdr:col>7</xdr:col>
      <xdr:colOff>19050</xdr:colOff>
      <xdr:row>4</xdr:row>
      <xdr:rowOff>1</xdr:rowOff>
    </xdr:from>
    <xdr:to>
      <xdr:col>7</xdr:col>
      <xdr:colOff>1298343</xdr:colOff>
      <xdr:row>18</xdr:row>
      <xdr:rowOff>142875</xdr:rowOff>
    </xdr:to>
    <xdr:pic>
      <xdr:nvPicPr>
        <xdr:cNvPr id="8" name="Picture 7">
          <a:extLst>
            <a:ext uri="{FF2B5EF4-FFF2-40B4-BE49-F238E27FC236}">
              <a16:creationId xmlns:a16="http://schemas.microsoft.com/office/drawing/2014/main" id="{00000000-0008-0000-0500-00000800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16221075" y="1752601"/>
          <a:ext cx="1279293" cy="2809874"/>
        </a:xfrm>
        <a:prstGeom prst="rect">
          <a:avLst/>
        </a:prstGeom>
        <a:noFill/>
        <a:ln w="1">
          <a:noFill/>
          <a:miter lim="800000"/>
          <a:headEnd/>
          <a:tailEnd type="none" w="med" len="med"/>
        </a:ln>
        <a:effectLst/>
      </xdr:spPr>
    </xdr:pic>
    <xdr:clientData/>
  </xdr:twoCellAnchor>
  <xdr:twoCellAnchor editAs="oneCell">
    <xdr:from>
      <xdr:col>8</xdr:col>
      <xdr:colOff>19049</xdr:colOff>
      <xdr:row>4</xdr:row>
      <xdr:rowOff>0</xdr:rowOff>
    </xdr:from>
    <xdr:to>
      <xdr:col>9</xdr:col>
      <xdr:colOff>74184</xdr:colOff>
      <xdr:row>18</xdr:row>
      <xdr:rowOff>161925</xdr:rowOff>
    </xdr:to>
    <xdr:pic>
      <xdr:nvPicPr>
        <xdr:cNvPr id="9" name="Picture 8">
          <a:extLst>
            <a:ext uri="{FF2B5EF4-FFF2-40B4-BE49-F238E27FC236}">
              <a16:creationId xmlns:a16="http://schemas.microsoft.com/office/drawing/2014/main" id="{00000000-0008-0000-0500-00000900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17525999" y="1752600"/>
          <a:ext cx="1360060" cy="2828925"/>
        </a:xfrm>
        <a:prstGeom prst="rect">
          <a:avLst/>
        </a:prstGeom>
        <a:noFill/>
        <a:ln w="1">
          <a:noFill/>
          <a:miter lim="800000"/>
          <a:headEnd/>
          <a:tailEnd type="none" w="med" len="med"/>
        </a:ln>
        <a:effectLst/>
      </xdr:spPr>
    </xdr:pic>
    <xdr:clientData/>
  </xdr:twoCellAnchor>
  <xdr:twoCellAnchor editAs="oneCell">
    <xdr:from>
      <xdr:col>9</xdr:col>
      <xdr:colOff>47624</xdr:colOff>
      <xdr:row>4</xdr:row>
      <xdr:rowOff>28575</xdr:rowOff>
    </xdr:from>
    <xdr:to>
      <xdr:col>10</xdr:col>
      <xdr:colOff>542925</xdr:colOff>
      <xdr:row>15</xdr:row>
      <xdr:rowOff>140121</xdr:rowOff>
    </xdr:to>
    <xdr:pic>
      <xdr:nvPicPr>
        <xdr:cNvPr id="10" name="Picture 9">
          <a:extLst>
            <a:ext uri="{FF2B5EF4-FFF2-40B4-BE49-F238E27FC236}">
              <a16:creationId xmlns:a16="http://schemas.microsoft.com/office/drawing/2014/main" id="{00000000-0008-0000-0500-00000A00000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18964274" y="1781175"/>
          <a:ext cx="1905001" cy="2235621"/>
        </a:xfrm>
        <a:prstGeom prst="rect">
          <a:avLst/>
        </a:prstGeom>
        <a:noFill/>
        <a:ln w="1">
          <a:noFill/>
          <a:miter lim="800000"/>
          <a:headEnd/>
          <a:tailEnd type="none" w="med" len="med"/>
        </a:ln>
        <a:effectLst/>
      </xdr:spPr>
    </xdr:pic>
    <xdr:clientData/>
  </xdr:twoCellAnchor>
  <xdr:twoCellAnchor editAs="oneCell">
    <xdr:from>
      <xdr:col>10</xdr:col>
      <xdr:colOff>9526</xdr:colOff>
      <xdr:row>4</xdr:row>
      <xdr:rowOff>1</xdr:rowOff>
    </xdr:from>
    <xdr:to>
      <xdr:col>10</xdr:col>
      <xdr:colOff>1127576</xdr:colOff>
      <xdr:row>18</xdr:row>
      <xdr:rowOff>133350</xdr:rowOff>
    </xdr:to>
    <xdr:pic>
      <xdr:nvPicPr>
        <xdr:cNvPr id="11" name="Picture 10">
          <a:extLst>
            <a:ext uri="{FF2B5EF4-FFF2-40B4-BE49-F238E27FC236}">
              <a16:creationId xmlns:a16="http://schemas.microsoft.com/office/drawing/2014/main" id="{00000000-0008-0000-0500-00000B00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20926426" y="1752601"/>
          <a:ext cx="1118050" cy="2800349"/>
        </a:xfrm>
        <a:prstGeom prst="rect">
          <a:avLst/>
        </a:prstGeom>
        <a:noFill/>
        <a:ln w="1">
          <a:noFill/>
          <a:miter lim="800000"/>
          <a:headEnd/>
          <a:tailEnd type="none" w="med" len="med"/>
        </a:ln>
        <a:effectLst/>
      </xdr:spPr>
    </xdr:pic>
    <xdr:clientData/>
  </xdr:twoCellAnchor>
  <xdr:twoCellAnchor editAs="oneCell">
    <xdr:from>
      <xdr:col>12</xdr:col>
      <xdr:colOff>9526</xdr:colOff>
      <xdr:row>4</xdr:row>
      <xdr:rowOff>1</xdr:rowOff>
    </xdr:from>
    <xdr:to>
      <xdr:col>12</xdr:col>
      <xdr:colOff>1488763</xdr:colOff>
      <xdr:row>18</xdr:row>
      <xdr:rowOff>152400</xdr:rowOff>
    </xdr:to>
    <xdr:pic>
      <xdr:nvPicPr>
        <xdr:cNvPr id="12" name="Picture 11">
          <a:extLst>
            <a:ext uri="{FF2B5EF4-FFF2-40B4-BE49-F238E27FC236}">
              <a16:creationId xmlns:a16="http://schemas.microsoft.com/office/drawing/2014/main" id="{00000000-0008-0000-0500-00000C00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24050626" y="1752601"/>
          <a:ext cx="1479237" cy="2819399"/>
        </a:xfrm>
        <a:prstGeom prst="rect">
          <a:avLst/>
        </a:prstGeom>
        <a:noFill/>
        <a:ln w="1">
          <a:noFill/>
          <a:miter lim="800000"/>
          <a:headEnd/>
          <a:tailEnd type="none" w="med" len="med"/>
        </a:ln>
        <a:effectLst/>
      </xdr:spPr>
    </xdr:pic>
    <xdr:clientData/>
  </xdr:twoCellAnchor>
  <xdr:twoCellAnchor editAs="oneCell">
    <xdr:from>
      <xdr:col>13</xdr:col>
      <xdr:colOff>9525</xdr:colOff>
      <xdr:row>4</xdr:row>
      <xdr:rowOff>1</xdr:rowOff>
    </xdr:from>
    <xdr:to>
      <xdr:col>14</xdr:col>
      <xdr:colOff>128677</xdr:colOff>
      <xdr:row>18</xdr:row>
      <xdr:rowOff>152400</xdr:rowOff>
    </xdr:to>
    <xdr:pic>
      <xdr:nvPicPr>
        <xdr:cNvPr id="13" name="Picture 12">
          <a:extLst>
            <a:ext uri="{FF2B5EF4-FFF2-40B4-BE49-F238E27FC236}">
              <a16:creationId xmlns:a16="http://schemas.microsoft.com/office/drawing/2014/main" id="{00000000-0008-0000-0500-00000D000000}"/>
            </a:ext>
          </a:extLst>
        </xdr:cNvPr>
        <xdr:cNvPicPr>
          <a:picLocks noChangeAspect="1" noChangeArrowheads="1"/>
        </xdr:cNvPicPr>
      </xdr:nvPicPr>
      <xdr:blipFill>
        <a:blip xmlns:r="http://schemas.openxmlformats.org/officeDocument/2006/relationships" r:embed="rId12" cstate="print"/>
        <a:srcRect/>
        <a:stretch>
          <a:fillRect/>
        </a:stretch>
      </xdr:blipFill>
      <xdr:spPr bwMode="auto">
        <a:xfrm>
          <a:off x="25536525" y="1752601"/>
          <a:ext cx="1605052" cy="2819399"/>
        </a:xfrm>
        <a:prstGeom prst="rect">
          <a:avLst/>
        </a:prstGeom>
        <a:noFill/>
        <a:ln w="1">
          <a:noFill/>
          <a:miter lim="800000"/>
          <a:headEnd/>
          <a:tailEnd type="none" w="med" len="med"/>
        </a:ln>
        <a:effectLst/>
      </xdr:spPr>
    </xdr:pic>
    <xdr:clientData/>
  </xdr:twoCellAnchor>
  <xdr:twoCellAnchor editAs="oneCell">
    <xdr:from>
      <xdr:col>14</xdr:col>
      <xdr:colOff>9526</xdr:colOff>
      <xdr:row>4</xdr:row>
      <xdr:rowOff>0</xdr:rowOff>
    </xdr:from>
    <xdr:to>
      <xdr:col>14</xdr:col>
      <xdr:colOff>1318562</xdr:colOff>
      <xdr:row>18</xdr:row>
      <xdr:rowOff>161925</xdr:rowOff>
    </xdr:to>
    <xdr:pic>
      <xdr:nvPicPr>
        <xdr:cNvPr id="14" name="Picture 13">
          <a:extLst>
            <a:ext uri="{FF2B5EF4-FFF2-40B4-BE49-F238E27FC236}">
              <a16:creationId xmlns:a16="http://schemas.microsoft.com/office/drawing/2014/main" id="{00000000-0008-0000-0500-00000E000000}"/>
            </a:ext>
          </a:extLst>
        </xdr:cNvPr>
        <xdr:cNvPicPr>
          <a:picLocks noChangeAspect="1" noChangeArrowheads="1"/>
        </xdr:cNvPicPr>
      </xdr:nvPicPr>
      <xdr:blipFill>
        <a:blip xmlns:r="http://schemas.openxmlformats.org/officeDocument/2006/relationships" r:embed="rId13" cstate="print"/>
        <a:srcRect/>
        <a:stretch>
          <a:fillRect/>
        </a:stretch>
      </xdr:blipFill>
      <xdr:spPr bwMode="auto">
        <a:xfrm>
          <a:off x="27174826" y="1752600"/>
          <a:ext cx="1309036" cy="2828925"/>
        </a:xfrm>
        <a:prstGeom prst="rect">
          <a:avLst/>
        </a:prstGeom>
        <a:noFill/>
        <a:ln w="1">
          <a:noFill/>
          <a:miter lim="800000"/>
          <a:headEnd/>
          <a:tailEnd type="none" w="med" len="med"/>
        </a:ln>
        <a:effectLst/>
      </xdr:spPr>
    </xdr:pic>
    <xdr:clientData/>
  </xdr:twoCellAnchor>
  <xdr:twoCellAnchor editAs="oneCell">
    <xdr:from>
      <xdr:col>15</xdr:col>
      <xdr:colOff>14602</xdr:colOff>
      <xdr:row>4</xdr:row>
      <xdr:rowOff>28576</xdr:rowOff>
    </xdr:from>
    <xdr:to>
      <xdr:col>16</xdr:col>
      <xdr:colOff>102430</xdr:colOff>
      <xdr:row>18</xdr:row>
      <xdr:rowOff>161925</xdr:rowOff>
    </xdr:to>
    <xdr:pic>
      <xdr:nvPicPr>
        <xdr:cNvPr id="15" name="Picture 14">
          <a:extLst>
            <a:ext uri="{FF2B5EF4-FFF2-40B4-BE49-F238E27FC236}">
              <a16:creationId xmlns:a16="http://schemas.microsoft.com/office/drawing/2014/main" id="{00000000-0008-0000-0500-00000F000000}"/>
            </a:ext>
          </a:extLst>
        </xdr:cNvPr>
        <xdr:cNvPicPr>
          <a:picLocks noChangeAspect="1" noChangeArrowheads="1"/>
        </xdr:cNvPicPr>
      </xdr:nvPicPr>
      <xdr:blipFill>
        <a:blip xmlns:r="http://schemas.openxmlformats.org/officeDocument/2006/relationships" r:embed="rId14" cstate="print"/>
        <a:srcRect/>
        <a:stretch>
          <a:fillRect/>
        </a:stretch>
      </xdr:blipFill>
      <xdr:spPr bwMode="auto">
        <a:xfrm>
          <a:off x="28522927" y="1781176"/>
          <a:ext cx="1430853" cy="2800349"/>
        </a:xfrm>
        <a:prstGeom prst="rect">
          <a:avLst/>
        </a:prstGeom>
        <a:noFill/>
        <a:ln w="1">
          <a:noFill/>
          <a:miter lim="800000"/>
          <a:headEnd/>
          <a:tailEnd type="none" w="med" len="med"/>
        </a:ln>
        <a:effectLst/>
      </xdr:spPr>
    </xdr:pic>
    <xdr:clientData/>
  </xdr:twoCellAnchor>
  <xdr:twoCellAnchor editAs="oneCell">
    <xdr:from>
      <xdr:col>16</xdr:col>
      <xdr:colOff>1</xdr:colOff>
      <xdr:row>4</xdr:row>
      <xdr:rowOff>0</xdr:rowOff>
    </xdr:from>
    <xdr:to>
      <xdr:col>16</xdr:col>
      <xdr:colOff>1473673</xdr:colOff>
      <xdr:row>18</xdr:row>
      <xdr:rowOff>161925</xdr:rowOff>
    </xdr:to>
    <xdr:pic>
      <xdr:nvPicPr>
        <xdr:cNvPr id="16" name="Picture 15">
          <a:extLst>
            <a:ext uri="{FF2B5EF4-FFF2-40B4-BE49-F238E27FC236}">
              <a16:creationId xmlns:a16="http://schemas.microsoft.com/office/drawing/2014/main" id="{00000000-0008-0000-0500-000010000000}"/>
            </a:ext>
          </a:extLst>
        </xdr:cNvPr>
        <xdr:cNvPicPr>
          <a:picLocks noChangeAspect="1" noChangeArrowheads="1"/>
        </xdr:cNvPicPr>
      </xdr:nvPicPr>
      <xdr:blipFill>
        <a:blip xmlns:r="http://schemas.openxmlformats.org/officeDocument/2006/relationships" r:embed="rId15" cstate="print"/>
        <a:srcRect/>
        <a:stretch>
          <a:fillRect/>
        </a:stretch>
      </xdr:blipFill>
      <xdr:spPr bwMode="auto">
        <a:xfrm>
          <a:off x="29994226" y="1752600"/>
          <a:ext cx="1473672" cy="2828925"/>
        </a:xfrm>
        <a:prstGeom prst="rect">
          <a:avLst/>
        </a:prstGeom>
        <a:noFill/>
        <a:ln w="1">
          <a:noFill/>
          <a:miter lim="800000"/>
          <a:headEnd/>
          <a:tailEnd type="none" w="med" len="med"/>
        </a:ln>
        <a:effectLst/>
      </xdr:spPr>
    </xdr:pic>
    <xdr:clientData/>
  </xdr:twoCellAnchor>
  <xdr:twoCellAnchor editAs="oneCell">
    <xdr:from>
      <xdr:col>27</xdr:col>
      <xdr:colOff>1</xdr:colOff>
      <xdr:row>4</xdr:row>
      <xdr:rowOff>1</xdr:rowOff>
    </xdr:from>
    <xdr:to>
      <xdr:col>27</xdr:col>
      <xdr:colOff>1254710</xdr:colOff>
      <xdr:row>19</xdr:row>
      <xdr:rowOff>9525</xdr:rowOff>
    </xdr:to>
    <xdr:pic>
      <xdr:nvPicPr>
        <xdr:cNvPr id="17" name="Picture 16">
          <a:extLst>
            <a:ext uri="{FF2B5EF4-FFF2-40B4-BE49-F238E27FC236}">
              <a16:creationId xmlns:a16="http://schemas.microsoft.com/office/drawing/2014/main" id="{00000000-0008-0000-0500-000011000000}"/>
            </a:ext>
          </a:extLst>
        </xdr:cNvPr>
        <xdr:cNvPicPr>
          <a:picLocks noChangeAspect="1" noChangeArrowheads="1"/>
        </xdr:cNvPicPr>
      </xdr:nvPicPr>
      <xdr:blipFill>
        <a:blip xmlns:r="http://schemas.openxmlformats.org/officeDocument/2006/relationships" r:embed="rId16" cstate="print"/>
        <a:srcRect/>
        <a:stretch>
          <a:fillRect/>
        </a:stretch>
      </xdr:blipFill>
      <xdr:spPr bwMode="auto">
        <a:xfrm>
          <a:off x="44757976" y="1752601"/>
          <a:ext cx="1254709" cy="2857499"/>
        </a:xfrm>
        <a:prstGeom prst="rect">
          <a:avLst/>
        </a:prstGeom>
        <a:noFill/>
        <a:ln w="1">
          <a:noFill/>
          <a:miter lim="800000"/>
          <a:headEnd/>
          <a:tailEnd type="none" w="med" len="med"/>
        </a:ln>
        <a:effectLst/>
      </xdr:spPr>
    </xdr:pic>
    <xdr:clientData/>
  </xdr:twoCellAnchor>
  <xdr:twoCellAnchor editAs="oneCell">
    <xdr:from>
      <xdr:col>18</xdr:col>
      <xdr:colOff>19049</xdr:colOff>
      <xdr:row>4</xdr:row>
      <xdr:rowOff>20410</xdr:rowOff>
    </xdr:from>
    <xdr:to>
      <xdr:col>19</xdr:col>
      <xdr:colOff>400050</xdr:colOff>
      <xdr:row>19</xdr:row>
      <xdr:rowOff>57151</xdr:rowOff>
    </xdr:to>
    <xdr:pic>
      <xdr:nvPicPr>
        <xdr:cNvPr id="18" name="Picture 19">
          <a:extLst>
            <a:ext uri="{FF2B5EF4-FFF2-40B4-BE49-F238E27FC236}">
              <a16:creationId xmlns:a16="http://schemas.microsoft.com/office/drawing/2014/main" id="{00000000-0008-0000-0500-000012000000}"/>
            </a:ext>
          </a:extLst>
        </xdr:cNvPr>
        <xdr:cNvPicPr>
          <a:picLocks noChangeAspect="1" noChangeArrowheads="1"/>
        </xdr:cNvPicPr>
      </xdr:nvPicPr>
      <xdr:blipFill>
        <a:blip xmlns:r="http://schemas.openxmlformats.org/officeDocument/2006/relationships" r:embed="rId17" cstate="print"/>
        <a:srcRect/>
        <a:stretch>
          <a:fillRect/>
        </a:stretch>
      </xdr:blipFill>
      <xdr:spPr bwMode="auto">
        <a:xfrm>
          <a:off x="32642174" y="1773010"/>
          <a:ext cx="1514476" cy="2884716"/>
        </a:xfrm>
        <a:prstGeom prst="rect">
          <a:avLst/>
        </a:prstGeom>
        <a:noFill/>
        <a:ln w="1">
          <a:noFill/>
          <a:miter lim="800000"/>
          <a:headEnd/>
          <a:tailEnd type="none" w="med" len="med"/>
        </a:ln>
        <a:effectLst/>
      </xdr:spPr>
    </xdr:pic>
    <xdr:clientData/>
  </xdr:twoCellAnchor>
  <xdr:twoCellAnchor editAs="oneCell">
    <xdr:from>
      <xdr:col>21</xdr:col>
      <xdr:colOff>1</xdr:colOff>
      <xdr:row>4</xdr:row>
      <xdr:rowOff>1</xdr:rowOff>
    </xdr:from>
    <xdr:to>
      <xdr:col>21</xdr:col>
      <xdr:colOff>1286515</xdr:colOff>
      <xdr:row>18</xdr:row>
      <xdr:rowOff>123825</xdr:rowOff>
    </xdr:to>
    <xdr:pic>
      <xdr:nvPicPr>
        <xdr:cNvPr id="19" name="Picture 20">
          <a:extLst>
            <a:ext uri="{FF2B5EF4-FFF2-40B4-BE49-F238E27FC236}">
              <a16:creationId xmlns:a16="http://schemas.microsoft.com/office/drawing/2014/main" id="{00000000-0008-0000-0500-000013000000}"/>
            </a:ext>
          </a:extLst>
        </xdr:cNvPr>
        <xdr:cNvPicPr>
          <a:picLocks noChangeAspect="1" noChangeArrowheads="1"/>
        </xdr:cNvPicPr>
      </xdr:nvPicPr>
      <xdr:blipFill>
        <a:blip xmlns:r="http://schemas.openxmlformats.org/officeDocument/2006/relationships" r:embed="rId18" cstate="print"/>
        <a:srcRect/>
        <a:stretch>
          <a:fillRect/>
        </a:stretch>
      </xdr:blipFill>
      <xdr:spPr bwMode="auto">
        <a:xfrm>
          <a:off x="36899851" y="1752601"/>
          <a:ext cx="1286514" cy="2790824"/>
        </a:xfrm>
        <a:prstGeom prst="rect">
          <a:avLst/>
        </a:prstGeom>
        <a:noFill/>
        <a:ln w="1">
          <a:noFill/>
          <a:miter lim="800000"/>
          <a:headEnd/>
          <a:tailEnd type="none" w="med" len="med"/>
        </a:ln>
        <a:effectLst/>
      </xdr:spPr>
    </xdr:pic>
    <xdr:clientData/>
  </xdr:twoCellAnchor>
  <xdr:twoCellAnchor editAs="oneCell">
    <xdr:from>
      <xdr:col>22</xdr:col>
      <xdr:colOff>9812</xdr:colOff>
      <xdr:row>4</xdr:row>
      <xdr:rowOff>9526</xdr:rowOff>
    </xdr:from>
    <xdr:to>
      <xdr:col>23</xdr:col>
      <xdr:colOff>494777</xdr:colOff>
      <xdr:row>18</xdr:row>
      <xdr:rowOff>152400</xdr:rowOff>
    </xdr:to>
    <xdr:pic>
      <xdr:nvPicPr>
        <xdr:cNvPr id="20" name="Picture 21">
          <a:extLst>
            <a:ext uri="{FF2B5EF4-FFF2-40B4-BE49-F238E27FC236}">
              <a16:creationId xmlns:a16="http://schemas.microsoft.com/office/drawing/2014/main" id="{00000000-0008-0000-0500-000014000000}"/>
            </a:ext>
          </a:extLst>
        </xdr:cNvPr>
        <xdr:cNvPicPr>
          <a:picLocks noChangeAspect="1" noChangeArrowheads="1"/>
        </xdr:cNvPicPr>
      </xdr:nvPicPr>
      <xdr:blipFill>
        <a:blip xmlns:r="http://schemas.openxmlformats.org/officeDocument/2006/relationships" r:embed="rId19" cstate="print"/>
        <a:srcRect/>
        <a:stretch>
          <a:fillRect/>
        </a:stretch>
      </xdr:blipFill>
      <xdr:spPr bwMode="auto">
        <a:xfrm>
          <a:off x="38214587" y="1762126"/>
          <a:ext cx="1789890" cy="2809874"/>
        </a:xfrm>
        <a:prstGeom prst="rect">
          <a:avLst/>
        </a:prstGeom>
        <a:noFill/>
        <a:ln w="1">
          <a:noFill/>
          <a:miter lim="800000"/>
          <a:headEnd/>
          <a:tailEnd type="none" w="med" len="med"/>
        </a:ln>
        <a:effectLst/>
      </xdr:spPr>
    </xdr:pic>
    <xdr:clientData/>
  </xdr:twoCellAnchor>
  <xdr:twoCellAnchor editAs="oneCell">
    <xdr:from>
      <xdr:col>5</xdr:col>
      <xdr:colOff>57151</xdr:colOff>
      <xdr:row>21</xdr:row>
      <xdr:rowOff>19051</xdr:rowOff>
    </xdr:from>
    <xdr:to>
      <xdr:col>5</xdr:col>
      <xdr:colOff>1308239</xdr:colOff>
      <xdr:row>34</xdr:row>
      <xdr:rowOff>38100</xdr:rowOff>
    </xdr:to>
    <xdr:pic>
      <xdr:nvPicPr>
        <xdr:cNvPr id="21" name="Picture 22">
          <a:extLst>
            <a:ext uri="{FF2B5EF4-FFF2-40B4-BE49-F238E27FC236}">
              <a16:creationId xmlns:a16="http://schemas.microsoft.com/office/drawing/2014/main" id="{00000000-0008-0000-0500-000015000000}"/>
            </a:ext>
          </a:extLst>
        </xdr:cNvPr>
        <xdr:cNvPicPr>
          <a:picLocks noChangeAspect="1" noChangeArrowheads="1"/>
        </xdr:cNvPicPr>
      </xdr:nvPicPr>
      <xdr:blipFill>
        <a:blip xmlns:r="http://schemas.openxmlformats.org/officeDocument/2006/relationships" r:embed="rId20" cstate="print"/>
        <a:srcRect/>
        <a:stretch>
          <a:fillRect/>
        </a:stretch>
      </xdr:blipFill>
      <xdr:spPr bwMode="auto">
        <a:xfrm>
          <a:off x="13087351" y="4924426"/>
          <a:ext cx="1251088" cy="2524124"/>
        </a:xfrm>
        <a:prstGeom prst="rect">
          <a:avLst/>
        </a:prstGeom>
        <a:noFill/>
        <a:ln w="25400">
          <a:solidFill>
            <a:schemeClr val="tx1"/>
          </a:solidFill>
          <a:miter lim="800000"/>
          <a:headEnd/>
          <a:tailEnd type="none" w="med" len="med"/>
        </a:ln>
        <a:effectLst/>
      </xdr:spPr>
    </xdr:pic>
    <xdr:clientData/>
  </xdr:twoCellAnchor>
  <xdr:twoCellAnchor editAs="oneCell">
    <xdr:from>
      <xdr:col>10</xdr:col>
      <xdr:colOff>38100</xdr:colOff>
      <xdr:row>21</xdr:row>
      <xdr:rowOff>19050</xdr:rowOff>
    </xdr:from>
    <xdr:to>
      <xdr:col>10</xdr:col>
      <xdr:colOff>1100484</xdr:colOff>
      <xdr:row>32</xdr:row>
      <xdr:rowOff>85725</xdr:rowOff>
    </xdr:to>
    <xdr:pic>
      <xdr:nvPicPr>
        <xdr:cNvPr id="22" name="Picture 23">
          <a:extLst>
            <a:ext uri="{FF2B5EF4-FFF2-40B4-BE49-F238E27FC236}">
              <a16:creationId xmlns:a16="http://schemas.microsoft.com/office/drawing/2014/main" id="{00000000-0008-0000-0500-000016000000}"/>
            </a:ext>
          </a:extLst>
        </xdr:cNvPr>
        <xdr:cNvPicPr>
          <a:picLocks noChangeAspect="1" noChangeArrowheads="1"/>
        </xdr:cNvPicPr>
      </xdr:nvPicPr>
      <xdr:blipFill>
        <a:blip xmlns:r="http://schemas.openxmlformats.org/officeDocument/2006/relationships" r:embed="rId21" cstate="print"/>
        <a:srcRect/>
        <a:stretch>
          <a:fillRect/>
        </a:stretch>
      </xdr:blipFill>
      <xdr:spPr bwMode="auto">
        <a:xfrm>
          <a:off x="20955000" y="4924425"/>
          <a:ext cx="1062384" cy="2162175"/>
        </a:xfrm>
        <a:prstGeom prst="rect">
          <a:avLst/>
        </a:prstGeom>
        <a:noFill/>
        <a:ln w="1">
          <a:noFill/>
          <a:miter lim="800000"/>
          <a:headEnd/>
          <a:tailEnd type="none" w="med" len="med"/>
        </a:ln>
        <a:effectLst/>
      </xdr:spPr>
    </xdr:pic>
    <xdr:clientData/>
  </xdr:twoCellAnchor>
  <xdr:twoCellAnchor editAs="oneCell">
    <xdr:from>
      <xdr:col>28</xdr:col>
      <xdr:colOff>1</xdr:colOff>
      <xdr:row>4</xdr:row>
      <xdr:rowOff>2</xdr:rowOff>
    </xdr:from>
    <xdr:to>
      <xdr:col>28</xdr:col>
      <xdr:colOff>1257670</xdr:colOff>
      <xdr:row>18</xdr:row>
      <xdr:rowOff>142876</xdr:rowOff>
    </xdr:to>
    <xdr:pic>
      <xdr:nvPicPr>
        <xdr:cNvPr id="23" name="Picture 24">
          <a:extLst>
            <a:ext uri="{FF2B5EF4-FFF2-40B4-BE49-F238E27FC236}">
              <a16:creationId xmlns:a16="http://schemas.microsoft.com/office/drawing/2014/main" id="{00000000-0008-0000-0500-000017000000}"/>
            </a:ext>
          </a:extLst>
        </xdr:cNvPr>
        <xdr:cNvPicPr>
          <a:picLocks noChangeAspect="1" noChangeArrowheads="1"/>
        </xdr:cNvPicPr>
      </xdr:nvPicPr>
      <xdr:blipFill>
        <a:blip xmlns:r="http://schemas.openxmlformats.org/officeDocument/2006/relationships" r:embed="rId22" cstate="print"/>
        <a:srcRect/>
        <a:stretch>
          <a:fillRect/>
        </a:stretch>
      </xdr:blipFill>
      <xdr:spPr bwMode="auto">
        <a:xfrm>
          <a:off x="46034326" y="1752602"/>
          <a:ext cx="1257669" cy="2809874"/>
        </a:xfrm>
        <a:prstGeom prst="rect">
          <a:avLst/>
        </a:prstGeom>
        <a:noFill/>
        <a:ln w="1">
          <a:noFill/>
          <a:miter lim="800000"/>
          <a:headEnd/>
          <a:tailEnd type="none" w="med" len="med"/>
        </a:ln>
        <a:effectLst/>
      </xdr:spPr>
    </xdr:pic>
    <xdr:clientData/>
  </xdr:twoCellAnchor>
  <xdr:twoCellAnchor editAs="oneCell">
    <xdr:from>
      <xdr:col>25</xdr:col>
      <xdr:colOff>0</xdr:colOff>
      <xdr:row>4</xdr:row>
      <xdr:rowOff>2</xdr:rowOff>
    </xdr:from>
    <xdr:to>
      <xdr:col>25</xdr:col>
      <xdr:colOff>1087129</xdr:colOff>
      <xdr:row>19</xdr:row>
      <xdr:rowOff>1</xdr:rowOff>
    </xdr:to>
    <xdr:pic>
      <xdr:nvPicPr>
        <xdr:cNvPr id="24" name="Picture 27">
          <a:extLst>
            <a:ext uri="{FF2B5EF4-FFF2-40B4-BE49-F238E27FC236}">
              <a16:creationId xmlns:a16="http://schemas.microsoft.com/office/drawing/2014/main" id="{00000000-0008-0000-0500-000018000000}"/>
            </a:ext>
          </a:extLst>
        </xdr:cNvPr>
        <xdr:cNvPicPr>
          <a:picLocks noChangeAspect="1" noChangeArrowheads="1"/>
        </xdr:cNvPicPr>
      </xdr:nvPicPr>
      <xdr:blipFill>
        <a:blip xmlns:r="http://schemas.openxmlformats.org/officeDocument/2006/relationships" r:embed="rId23" cstate="print"/>
        <a:srcRect/>
        <a:stretch>
          <a:fillRect/>
        </a:stretch>
      </xdr:blipFill>
      <xdr:spPr bwMode="auto">
        <a:xfrm>
          <a:off x="42367200" y="1752602"/>
          <a:ext cx="1087129" cy="2847974"/>
        </a:xfrm>
        <a:prstGeom prst="rect">
          <a:avLst/>
        </a:prstGeom>
        <a:noFill/>
        <a:ln w="1">
          <a:noFill/>
          <a:miter lim="800000"/>
          <a:headEnd/>
          <a:tailEnd type="none" w="med" len="med"/>
        </a:ln>
        <a:effectLst/>
      </xdr:spPr>
    </xdr:pic>
    <xdr:clientData/>
  </xdr:twoCellAnchor>
  <xdr:twoCellAnchor editAs="oneCell">
    <xdr:from>
      <xdr:col>26</xdr:col>
      <xdr:colOff>1</xdr:colOff>
      <xdr:row>4</xdr:row>
      <xdr:rowOff>1</xdr:rowOff>
    </xdr:from>
    <xdr:to>
      <xdr:col>27</xdr:col>
      <xdr:colOff>141132</xdr:colOff>
      <xdr:row>18</xdr:row>
      <xdr:rowOff>133350</xdr:rowOff>
    </xdr:to>
    <xdr:pic>
      <xdr:nvPicPr>
        <xdr:cNvPr id="25" name="Picture 28">
          <a:extLst>
            <a:ext uri="{FF2B5EF4-FFF2-40B4-BE49-F238E27FC236}">
              <a16:creationId xmlns:a16="http://schemas.microsoft.com/office/drawing/2014/main" id="{00000000-0008-0000-0500-000019000000}"/>
            </a:ext>
          </a:extLst>
        </xdr:cNvPr>
        <xdr:cNvPicPr>
          <a:picLocks noChangeAspect="1" noChangeArrowheads="1"/>
        </xdr:cNvPicPr>
      </xdr:nvPicPr>
      <xdr:blipFill>
        <a:blip xmlns:r="http://schemas.openxmlformats.org/officeDocument/2006/relationships" r:embed="rId24" cstate="print"/>
        <a:srcRect/>
        <a:stretch>
          <a:fillRect/>
        </a:stretch>
      </xdr:blipFill>
      <xdr:spPr bwMode="auto">
        <a:xfrm>
          <a:off x="43481626" y="1752601"/>
          <a:ext cx="1255556" cy="2800349"/>
        </a:xfrm>
        <a:prstGeom prst="rect">
          <a:avLst/>
        </a:prstGeom>
        <a:noFill/>
        <a:ln w="1">
          <a:noFill/>
          <a:miter lim="800000"/>
          <a:headEnd/>
          <a:tailEnd type="none" w="med" len="med"/>
        </a:ln>
        <a:effectLst/>
      </xdr:spPr>
    </xdr:pic>
    <xdr:clientData/>
  </xdr:twoCellAnchor>
  <xdr:twoCellAnchor>
    <xdr:from>
      <xdr:col>7</xdr:col>
      <xdr:colOff>28575</xdr:colOff>
      <xdr:row>20</xdr:row>
      <xdr:rowOff>38100</xdr:rowOff>
    </xdr:from>
    <xdr:to>
      <xdr:col>7</xdr:col>
      <xdr:colOff>123825</xdr:colOff>
      <xdr:row>21</xdr:row>
      <xdr:rowOff>95250</xdr:rowOff>
    </xdr:to>
    <xdr:sp macro="" textlink="">
      <xdr:nvSpPr>
        <xdr:cNvPr id="26" name="Up Arrow 29">
          <a:extLst>
            <a:ext uri="{FF2B5EF4-FFF2-40B4-BE49-F238E27FC236}">
              <a16:creationId xmlns:a16="http://schemas.microsoft.com/office/drawing/2014/main" id="{00000000-0008-0000-0500-00001A000000}"/>
            </a:ext>
          </a:extLst>
        </xdr:cNvPr>
        <xdr:cNvSpPr/>
      </xdr:nvSpPr>
      <xdr:spPr>
        <a:xfrm>
          <a:off x="16230600" y="4714875"/>
          <a:ext cx="95250" cy="285750"/>
        </a:xfrm>
        <a:prstGeom prst="upArrow">
          <a:avLst/>
        </a:prstGeom>
        <a:solidFill>
          <a:schemeClr val="accent1"/>
        </a:solid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n-US" sz="1100"/>
        </a:p>
      </xdr:txBody>
    </xdr:sp>
    <xdr:clientData/>
  </xdr:twoCellAnchor>
  <xdr:twoCellAnchor>
    <xdr:from>
      <xdr:col>7</xdr:col>
      <xdr:colOff>1152525</xdr:colOff>
      <xdr:row>20</xdr:row>
      <xdr:rowOff>38100</xdr:rowOff>
    </xdr:from>
    <xdr:to>
      <xdr:col>7</xdr:col>
      <xdr:colOff>1247775</xdr:colOff>
      <xdr:row>21</xdr:row>
      <xdr:rowOff>95250</xdr:rowOff>
    </xdr:to>
    <xdr:sp macro="" textlink="">
      <xdr:nvSpPr>
        <xdr:cNvPr id="27" name="Up Arrow 30">
          <a:extLst>
            <a:ext uri="{FF2B5EF4-FFF2-40B4-BE49-F238E27FC236}">
              <a16:creationId xmlns:a16="http://schemas.microsoft.com/office/drawing/2014/main" id="{00000000-0008-0000-0500-00001B000000}"/>
            </a:ext>
          </a:extLst>
        </xdr:cNvPr>
        <xdr:cNvSpPr/>
      </xdr:nvSpPr>
      <xdr:spPr>
        <a:xfrm>
          <a:off x="17354550" y="4714875"/>
          <a:ext cx="95250" cy="285750"/>
        </a:xfrm>
        <a:prstGeom prst="upArrow">
          <a:avLst/>
        </a:prstGeom>
        <a:solidFill>
          <a:schemeClr val="accent1"/>
        </a:solid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n-US" sz="1100"/>
        </a:p>
      </xdr:txBody>
    </xdr:sp>
    <xdr:clientData/>
  </xdr:twoCellAnchor>
  <xdr:twoCellAnchor>
    <xdr:from>
      <xdr:col>9</xdr:col>
      <xdr:colOff>304800</xdr:colOff>
      <xdr:row>20</xdr:row>
      <xdr:rowOff>114300</xdr:rowOff>
    </xdr:from>
    <xdr:to>
      <xdr:col>9</xdr:col>
      <xdr:colOff>400050</xdr:colOff>
      <xdr:row>21</xdr:row>
      <xdr:rowOff>171450</xdr:rowOff>
    </xdr:to>
    <xdr:sp macro="" textlink="">
      <xdr:nvSpPr>
        <xdr:cNvPr id="28" name="Up Arrow 31">
          <a:extLst>
            <a:ext uri="{FF2B5EF4-FFF2-40B4-BE49-F238E27FC236}">
              <a16:creationId xmlns:a16="http://schemas.microsoft.com/office/drawing/2014/main" id="{00000000-0008-0000-0500-00001C000000}"/>
            </a:ext>
          </a:extLst>
        </xdr:cNvPr>
        <xdr:cNvSpPr/>
      </xdr:nvSpPr>
      <xdr:spPr>
        <a:xfrm>
          <a:off x="19221450" y="4791075"/>
          <a:ext cx="95250" cy="285750"/>
        </a:xfrm>
        <a:prstGeom prst="upArrow">
          <a:avLst/>
        </a:prstGeom>
        <a:solidFill>
          <a:schemeClr val="accent1"/>
        </a:solid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n-US" sz="1100"/>
        </a:p>
      </xdr:txBody>
    </xdr:sp>
    <xdr:clientData/>
  </xdr:twoCellAnchor>
  <xdr:twoCellAnchor>
    <xdr:from>
      <xdr:col>9</xdr:col>
      <xdr:colOff>1600200</xdr:colOff>
      <xdr:row>20</xdr:row>
      <xdr:rowOff>114300</xdr:rowOff>
    </xdr:from>
    <xdr:to>
      <xdr:col>9</xdr:col>
      <xdr:colOff>1695450</xdr:colOff>
      <xdr:row>21</xdr:row>
      <xdr:rowOff>171450</xdr:rowOff>
    </xdr:to>
    <xdr:sp macro="" textlink="">
      <xdr:nvSpPr>
        <xdr:cNvPr id="29" name="Up Arrow 32">
          <a:extLst>
            <a:ext uri="{FF2B5EF4-FFF2-40B4-BE49-F238E27FC236}">
              <a16:creationId xmlns:a16="http://schemas.microsoft.com/office/drawing/2014/main" id="{00000000-0008-0000-0500-00001D000000}"/>
            </a:ext>
          </a:extLst>
        </xdr:cNvPr>
        <xdr:cNvSpPr/>
      </xdr:nvSpPr>
      <xdr:spPr>
        <a:xfrm>
          <a:off x="20516850" y="4791075"/>
          <a:ext cx="95250" cy="285750"/>
        </a:xfrm>
        <a:prstGeom prst="upArrow">
          <a:avLst/>
        </a:prstGeom>
        <a:solidFill>
          <a:schemeClr val="accent1"/>
        </a:solid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n-US" sz="1100"/>
        </a:p>
      </xdr:txBody>
    </xdr:sp>
    <xdr:clientData/>
  </xdr:twoCellAnchor>
  <xdr:twoCellAnchor editAs="oneCell">
    <xdr:from>
      <xdr:col>20</xdr:col>
      <xdr:colOff>19055</xdr:colOff>
      <xdr:row>4</xdr:row>
      <xdr:rowOff>19053</xdr:rowOff>
    </xdr:from>
    <xdr:to>
      <xdr:col>21</xdr:col>
      <xdr:colOff>236845</xdr:colOff>
      <xdr:row>19</xdr:row>
      <xdr:rowOff>57150</xdr:rowOff>
    </xdr:to>
    <xdr:pic>
      <xdr:nvPicPr>
        <xdr:cNvPr id="30" name="Picture 29">
          <a:extLst>
            <a:ext uri="{FF2B5EF4-FFF2-40B4-BE49-F238E27FC236}">
              <a16:creationId xmlns:a16="http://schemas.microsoft.com/office/drawing/2014/main" id="{00000000-0008-0000-0500-00001E000000}"/>
            </a:ext>
          </a:extLst>
        </xdr:cNvPr>
        <xdr:cNvPicPr>
          <a:picLocks noChangeAspect="1"/>
        </xdr:cNvPicPr>
      </xdr:nvPicPr>
      <xdr:blipFill rotWithShape="1">
        <a:blip xmlns:r="http://schemas.openxmlformats.org/officeDocument/2006/relationships" r:embed="rId25"/>
        <a:srcRect b="18984"/>
        <a:stretch/>
      </xdr:blipFill>
      <xdr:spPr>
        <a:xfrm>
          <a:off x="35433005" y="1771653"/>
          <a:ext cx="1456040" cy="2886072"/>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19</xdr:col>
          <xdr:colOff>28575</xdr:colOff>
          <xdr:row>4</xdr:row>
          <xdr:rowOff>28575</xdr:rowOff>
        </xdr:from>
        <xdr:to>
          <xdr:col>19</xdr:col>
          <xdr:colOff>76200</xdr:colOff>
          <xdr:row>4</xdr:row>
          <xdr:rowOff>142875</xdr:rowOff>
        </xdr:to>
        <xdr:sp macro="" textlink="">
          <xdr:nvSpPr>
            <xdr:cNvPr id="4097" name="Object 1" hidden="1">
              <a:extLst>
                <a:ext uri="{63B3BB69-23CF-44E3-9099-C40C66FF867C}">
                  <a14:compatExt spid="_x0000_s4097"/>
                </a:ext>
                <a:ext uri="{FF2B5EF4-FFF2-40B4-BE49-F238E27FC236}">
                  <a16:creationId xmlns:a16="http://schemas.microsoft.com/office/drawing/2014/main" id="{00000000-0008-0000-0500-000001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19050</xdr:colOff>
          <xdr:row>4</xdr:row>
          <xdr:rowOff>19050</xdr:rowOff>
        </xdr:from>
        <xdr:to>
          <xdr:col>17</xdr:col>
          <xdr:colOff>66675</xdr:colOff>
          <xdr:row>4</xdr:row>
          <xdr:rowOff>142875</xdr:rowOff>
        </xdr:to>
        <xdr:sp macro="" textlink="">
          <xdr:nvSpPr>
            <xdr:cNvPr id="4098" name="Object 2" hidden="1">
              <a:extLst>
                <a:ext uri="{63B3BB69-23CF-44E3-9099-C40C66FF867C}">
                  <a14:compatExt spid="_x0000_s4098"/>
                </a:ext>
                <a:ext uri="{FF2B5EF4-FFF2-40B4-BE49-F238E27FC236}">
                  <a16:creationId xmlns:a16="http://schemas.microsoft.com/office/drawing/2014/main" id="{00000000-0008-0000-0500-000002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24</xdr:col>
      <xdr:colOff>19053</xdr:colOff>
      <xdr:row>4</xdr:row>
      <xdr:rowOff>9527</xdr:rowOff>
    </xdr:from>
    <xdr:to>
      <xdr:col>25</xdr:col>
      <xdr:colOff>8456</xdr:colOff>
      <xdr:row>19</xdr:row>
      <xdr:rowOff>57150</xdr:rowOff>
    </xdr:to>
    <xdr:pic>
      <xdr:nvPicPr>
        <xdr:cNvPr id="31" name="Picture 30">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26"/>
        <a:stretch>
          <a:fillRect/>
        </a:stretch>
      </xdr:blipFill>
      <xdr:spPr>
        <a:xfrm>
          <a:off x="41195628" y="1762127"/>
          <a:ext cx="1151453" cy="2895598"/>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23</xdr:col>
          <xdr:colOff>19050</xdr:colOff>
          <xdr:row>4</xdr:row>
          <xdr:rowOff>19050</xdr:rowOff>
        </xdr:from>
        <xdr:to>
          <xdr:col>23</xdr:col>
          <xdr:colOff>57150</xdr:colOff>
          <xdr:row>4</xdr:row>
          <xdr:rowOff>114300</xdr:rowOff>
        </xdr:to>
        <xdr:sp macro="" textlink="">
          <xdr:nvSpPr>
            <xdr:cNvPr id="4099" name="Object 3" hidden="1">
              <a:extLst>
                <a:ext uri="{63B3BB69-23CF-44E3-9099-C40C66FF867C}">
                  <a14:compatExt spid="_x0000_s4099"/>
                </a:ext>
                <a:ext uri="{FF2B5EF4-FFF2-40B4-BE49-F238E27FC236}">
                  <a16:creationId xmlns:a16="http://schemas.microsoft.com/office/drawing/2014/main" id="{00000000-0008-0000-0500-000003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53</xdr:col>
      <xdr:colOff>0</xdr:colOff>
      <xdr:row>2</xdr:row>
      <xdr:rowOff>0</xdr:rowOff>
    </xdr:from>
    <xdr:to>
      <xdr:col>54</xdr:col>
      <xdr:colOff>9525</xdr:colOff>
      <xdr:row>35</xdr:row>
      <xdr:rowOff>66675</xdr:rowOff>
    </xdr:to>
    <xdr:pic>
      <xdr:nvPicPr>
        <xdr:cNvPr id="4331" name="Picture 1" descr="1975 F-2712 SN 87760125.jpg">
          <a:extLst>
            <a:ext uri="{FF2B5EF4-FFF2-40B4-BE49-F238E27FC236}">
              <a16:creationId xmlns:a16="http://schemas.microsoft.com/office/drawing/2014/main" id="{00000000-0008-0000-0600-0000EB100000}"/>
            </a:ext>
          </a:extLst>
        </xdr:cNvPr>
        <xdr:cNvPicPr>
          <a:picLocks noChangeAspect="1"/>
        </xdr:cNvPicPr>
      </xdr:nvPicPr>
      <xdr:blipFill>
        <a:blip xmlns:r="http://schemas.openxmlformats.org/officeDocument/2006/relationships" r:embed="rId1" cstate="print"/>
        <a:srcRect/>
        <a:stretch>
          <a:fillRect/>
        </a:stretch>
      </xdr:blipFill>
      <xdr:spPr bwMode="auto">
        <a:xfrm>
          <a:off x="214550625" y="590550"/>
          <a:ext cx="4057650" cy="5410200"/>
        </a:xfrm>
        <a:prstGeom prst="rect">
          <a:avLst/>
        </a:prstGeom>
        <a:noFill/>
        <a:ln w="9525">
          <a:noFill/>
          <a:miter lim="800000"/>
          <a:headEnd/>
          <a:tailEnd/>
        </a:ln>
      </xdr:spPr>
    </xdr:pic>
    <xdr:clientData/>
  </xdr:twoCellAnchor>
  <xdr:twoCellAnchor>
    <xdr:from>
      <xdr:col>53</xdr:col>
      <xdr:colOff>2609850</xdr:colOff>
      <xdr:row>17</xdr:row>
      <xdr:rowOff>28575</xdr:rowOff>
    </xdr:from>
    <xdr:to>
      <xdr:col>53</xdr:col>
      <xdr:colOff>3409950</xdr:colOff>
      <xdr:row>19</xdr:row>
      <xdr:rowOff>85725</xdr:rowOff>
    </xdr:to>
    <xdr:sp macro="" textlink="">
      <xdr:nvSpPr>
        <xdr:cNvPr id="3" name="Rectangle 2">
          <a:extLst>
            <a:ext uri="{FF2B5EF4-FFF2-40B4-BE49-F238E27FC236}">
              <a16:creationId xmlns:a16="http://schemas.microsoft.com/office/drawing/2014/main" id="{00000000-0008-0000-0600-000003000000}"/>
            </a:ext>
          </a:extLst>
        </xdr:cNvPr>
        <xdr:cNvSpPr/>
      </xdr:nvSpPr>
      <xdr:spPr>
        <a:xfrm>
          <a:off x="217160475" y="2790825"/>
          <a:ext cx="800100" cy="381000"/>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twoCellAnchor editAs="oneCell">
    <xdr:from>
      <xdr:col>34</xdr:col>
      <xdr:colOff>0</xdr:colOff>
      <xdr:row>2</xdr:row>
      <xdr:rowOff>47625</xdr:rowOff>
    </xdr:from>
    <xdr:to>
      <xdr:col>34</xdr:col>
      <xdr:colOff>4038600</xdr:colOff>
      <xdr:row>40</xdr:row>
      <xdr:rowOff>85725</xdr:rowOff>
    </xdr:to>
    <xdr:pic>
      <xdr:nvPicPr>
        <xdr:cNvPr id="4333" name="Picture 3" descr="1975 F-25 and CASE.jpg">
          <a:extLst>
            <a:ext uri="{FF2B5EF4-FFF2-40B4-BE49-F238E27FC236}">
              <a16:creationId xmlns:a16="http://schemas.microsoft.com/office/drawing/2014/main" id="{00000000-0008-0000-0600-0000ED100000}"/>
            </a:ext>
          </a:extLst>
        </xdr:cNvPr>
        <xdr:cNvPicPr>
          <a:picLocks noChangeAspect="1"/>
        </xdr:cNvPicPr>
      </xdr:nvPicPr>
      <xdr:blipFill>
        <a:blip xmlns:r="http://schemas.openxmlformats.org/officeDocument/2006/relationships" r:embed="rId2" cstate="print"/>
        <a:srcRect/>
        <a:stretch>
          <a:fillRect/>
        </a:stretch>
      </xdr:blipFill>
      <xdr:spPr bwMode="auto">
        <a:xfrm>
          <a:off x="137636250" y="638175"/>
          <a:ext cx="4038600" cy="6191250"/>
        </a:xfrm>
        <a:prstGeom prst="rect">
          <a:avLst/>
        </a:prstGeom>
        <a:noFill/>
        <a:ln w="9525">
          <a:noFill/>
          <a:miter lim="800000"/>
          <a:headEnd/>
          <a:tailEnd/>
        </a:ln>
      </xdr:spPr>
    </xdr:pic>
    <xdr:clientData/>
  </xdr:twoCellAnchor>
  <xdr:twoCellAnchor editAs="oneCell">
    <xdr:from>
      <xdr:col>4</xdr:col>
      <xdr:colOff>0</xdr:colOff>
      <xdr:row>2</xdr:row>
      <xdr:rowOff>0</xdr:rowOff>
    </xdr:from>
    <xdr:to>
      <xdr:col>5</xdr:col>
      <xdr:colOff>0</xdr:colOff>
      <xdr:row>34</xdr:row>
      <xdr:rowOff>76200</xdr:rowOff>
    </xdr:to>
    <xdr:pic>
      <xdr:nvPicPr>
        <xdr:cNvPr id="4334" name="Picture 4" descr="1972 C-10 Invoice.jpg">
          <a:extLst>
            <a:ext uri="{FF2B5EF4-FFF2-40B4-BE49-F238E27FC236}">
              <a16:creationId xmlns:a16="http://schemas.microsoft.com/office/drawing/2014/main" id="{00000000-0008-0000-0600-0000EE100000}"/>
            </a:ext>
          </a:extLst>
        </xdr:cNvPr>
        <xdr:cNvPicPr>
          <a:picLocks noChangeAspect="1"/>
        </xdr:cNvPicPr>
      </xdr:nvPicPr>
      <xdr:blipFill>
        <a:blip xmlns:r="http://schemas.openxmlformats.org/officeDocument/2006/relationships" r:embed="rId3" cstate="print"/>
        <a:srcRect/>
        <a:stretch>
          <a:fillRect/>
        </a:stretch>
      </xdr:blipFill>
      <xdr:spPr bwMode="auto">
        <a:xfrm>
          <a:off x="16192500" y="590550"/>
          <a:ext cx="4048125" cy="5257800"/>
        </a:xfrm>
        <a:prstGeom prst="rect">
          <a:avLst/>
        </a:prstGeom>
        <a:noFill/>
        <a:ln w="9525">
          <a:noFill/>
          <a:miter lim="800000"/>
          <a:headEnd/>
          <a:tailEnd/>
        </a:ln>
      </xdr:spPr>
    </xdr:pic>
    <xdr:clientData/>
  </xdr:twoCellAnchor>
  <xdr:twoCellAnchor editAs="oneCell">
    <xdr:from>
      <xdr:col>7</xdr:col>
      <xdr:colOff>0</xdr:colOff>
      <xdr:row>2</xdr:row>
      <xdr:rowOff>0</xdr:rowOff>
    </xdr:from>
    <xdr:to>
      <xdr:col>8</xdr:col>
      <xdr:colOff>9525</xdr:colOff>
      <xdr:row>23</xdr:row>
      <xdr:rowOff>28575</xdr:rowOff>
    </xdr:to>
    <xdr:pic>
      <xdr:nvPicPr>
        <xdr:cNvPr id="4335" name="Picture 5" descr="1975 C-20 and Case.jpg">
          <a:extLst>
            <a:ext uri="{FF2B5EF4-FFF2-40B4-BE49-F238E27FC236}">
              <a16:creationId xmlns:a16="http://schemas.microsoft.com/office/drawing/2014/main" id="{00000000-0008-0000-0600-0000EF100000}"/>
            </a:ext>
          </a:extLst>
        </xdr:cNvPr>
        <xdr:cNvPicPr>
          <a:picLocks noChangeAspect="1"/>
        </xdr:cNvPicPr>
      </xdr:nvPicPr>
      <xdr:blipFill>
        <a:blip xmlns:r="http://schemas.openxmlformats.org/officeDocument/2006/relationships" r:embed="rId4" cstate="print"/>
        <a:srcRect/>
        <a:stretch>
          <a:fillRect/>
        </a:stretch>
      </xdr:blipFill>
      <xdr:spPr bwMode="auto">
        <a:xfrm>
          <a:off x="28336875" y="590550"/>
          <a:ext cx="4057650" cy="3429000"/>
        </a:xfrm>
        <a:prstGeom prst="rect">
          <a:avLst/>
        </a:prstGeom>
        <a:noFill/>
        <a:ln w="9525">
          <a:noFill/>
          <a:miter lim="800000"/>
          <a:headEnd/>
          <a:tailEnd/>
        </a:ln>
      </xdr:spPr>
    </xdr:pic>
    <xdr:clientData/>
  </xdr:twoCellAnchor>
  <xdr:twoCellAnchor editAs="oneCell">
    <xdr:from>
      <xdr:col>39</xdr:col>
      <xdr:colOff>0</xdr:colOff>
      <xdr:row>2</xdr:row>
      <xdr:rowOff>0</xdr:rowOff>
    </xdr:from>
    <xdr:to>
      <xdr:col>39</xdr:col>
      <xdr:colOff>4038600</xdr:colOff>
      <xdr:row>35</xdr:row>
      <xdr:rowOff>38100</xdr:rowOff>
    </xdr:to>
    <xdr:pic>
      <xdr:nvPicPr>
        <xdr:cNvPr id="4336" name="Picture 6" descr="1980 F-29 With Trade.jpg">
          <a:extLst>
            <a:ext uri="{FF2B5EF4-FFF2-40B4-BE49-F238E27FC236}">
              <a16:creationId xmlns:a16="http://schemas.microsoft.com/office/drawing/2014/main" id="{00000000-0008-0000-0600-0000F0100000}"/>
            </a:ext>
          </a:extLst>
        </xdr:cNvPr>
        <xdr:cNvPicPr>
          <a:picLocks noChangeAspect="1"/>
        </xdr:cNvPicPr>
      </xdr:nvPicPr>
      <xdr:blipFill>
        <a:blip xmlns:r="http://schemas.openxmlformats.org/officeDocument/2006/relationships" r:embed="rId5" cstate="print"/>
        <a:srcRect/>
        <a:stretch>
          <a:fillRect/>
        </a:stretch>
      </xdr:blipFill>
      <xdr:spPr bwMode="auto">
        <a:xfrm>
          <a:off x="157876875" y="590550"/>
          <a:ext cx="4038600" cy="5381625"/>
        </a:xfrm>
        <a:prstGeom prst="rect">
          <a:avLst/>
        </a:prstGeom>
        <a:noFill/>
        <a:ln w="9525">
          <a:noFill/>
          <a:miter lim="800000"/>
          <a:headEnd/>
          <a:tailEnd/>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noFill/>
        <a:ln>
          <a:solidFill>
            <a:srgbClr val="FF0000"/>
          </a:solidFill>
        </a:ln>
      </a:spPr>
      <a:bodyPr vertOverflow="clip" rtlCol="0" anchor="ctr"/>
      <a:lstStyle>
        <a:defPPr algn="ctr">
          <a:defRPr sz="1100"/>
        </a:defPPr>
      </a:lstStyle>
      <a:style>
        <a:lnRef idx="2">
          <a:schemeClr val="accent1">
            <a:shade val="50000"/>
          </a:schemeClr>
        </a:lnRef>
        <a:fillRef idx="1">
          <a:schemeClr val="accent1"/>
        </a:fillRef>
        <a:effectRef idx="0">
          <a:schemeClr val="accent1"/>
        </a:effectRef>
        <a:fontRef idx="minor">
          <a:schemeClr val="lt1"/>
        </a:fontRef>
      </a:style>
    </a:sp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2.bin"/><Relationship Id="rId1" Type="http://schemas.openxmlformats.org/officeDocument/2006/relationships/hyperlink" Target="http://www.brownsburgguitar.com/" TargetMode="Externa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1.vml"/><Relationship Id="rId7" Type="http://schemas.openxmlformats.org/officeDocument/2006/relationships/image" Target="../media/image3.emf"/><Relationship Id="rId2" Type="http://schemas.openxmlformats.org/officeDocument/2006/relationships/drawing" Target="../drawings/drawing2.xml"/><Relationship Id="rId1" Type="http://schemas.openxmlformats.org/officeDocument/2006/relationships/printerSettings" Target="../printerSettings/printerSettings4.bin"/><Relationship Id="rId6" Type="http://schemas.openxmlformats.org/officeDocument/2006/relationships/oleObject" Target="../embeddings/oleObject2.bin"/><Relationship Id="rId5" Type="http://schemas.openxmlformats.org/officeDocument/2006/relationships/image" Target="../media/image2.emf"/><Relationship Id="rId4" Type="http://schemas.openxmlformats.org/officeDocument/2006/relationships/oleObject" Target="../embeddings/oleObject1.bin"/><Relationship Id="rId9" Type="http://schemas.openxmlformats.org/officeDocument/2006/relationships/image" Target="../media/image4.emf"/></Relationships>
</file>

<file path=xl/worksheets/_rels/sheet6.xml.rels><?xml version="1.0" encoding="UTF-8" standalone="yes"?>
<Relationships xmlns="http://schemas.openxmlformats.org/package/2006/relationships"><Relationship Id="rId8" Type="http://schemas.openxmlformats.org/officeDocument/2006/relationships/oleObject" Target="../embeddings/oleObject6.bin"/><Relationship Id="rId3" Type="http://schemas.openxmlformats.org/officeDocument/2006/relationships/vmlDrawing" Target="../drawings/vmlDrawing2.vml"/><Relationship Id="rId7" Type="http://schemas.openxmlformats.org/officeDocument/2006/relationships/image" Target="../media/image32.emf"/><Relationship Id="rId2" Type="http://schemas.openxmlformats.org/officeDocument/2006/relationships/drawing" Target="../drawings/drawing3.xml"/><Relationship Id="rId1" Type="http://schemas.openxmlformats.org/officeDocument/2006/relationships/printerSettings" Target="../printerSettings/printerSettings5.bin"/><Relationship Id="rId6" Type="http://schemas.openxmlformats.org/officeDocument/2006/relationships/oleObject" Target="../embeddings/oleObject5.bin"/><Relationship Id="rId5" Type="http://schemas.openxmlformats.org/officeDocument/2006/relationships/image" Target="../media/image31.emf"/><Relationship Id="rId4" Type="http://schemas.openxmlformats.org/officeDocument/2006/relationships/oleObject" Target="../embeddings/oleObject4.bin"/><Relationship Id="rId9" Type="http://schemas.openxmlformats.org/officeDocument/2006/relationships/image" Target="../media/image4.emf"/></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AE65"/>
  <sheetViews>
    <sheetView zoomScale="85" workbookViewId="0">
      <pane xSplit="5" ySplit="3" topLeftCell="F29" activePane="bottomRight" state="frozenSplit"/>
      <selection pane="topRight" activeCell="F1" sqref="F1"/>
      <selection pane="bottomLeft" activeCell="A2" sqref="A2"/>
      <selection pane="bottomRight" activeCell="I27" sqref="I27"/>
    </sheetView>
  </sheetViews>
  <sheetFormatPr defaultRowHeight="12.75" x14ac:dyDescent="0.2"/>
  <cols>
    <col min="1" max="1" width="5.28515625" style="1" customWidth="1"/>
    <col min="2" max="2" width="14.5703125" style="1" customWidth="1"/>
    <col min="3" max="3" width="11.85546875" style="1" customWidth="1"/>
    <col min="4" max="6" width="16.85546875" style="1" customWidth="1"/>
    <col min="7" max="9" width="15" style="1" customWidth="1"/>
    <col min="10" max="10" width="21.7109375" style="1" customWidth="1"/>
    <col min="11" max="11" width="14.42578125" style="1" bestFit="1" customWidth="1"/>
    <col min="12" max="12" width="18.85546875" style="1" bestFit="1" customWidth="1"/>
    <col min="13" max="13" width="16.5703125" style="1" customWidth="1"/>
    <col min="14" max="14" width="18.42578125" style="1" bestFit="1" customWidth="1"/>
    <col min="15" max="15" width="16.28515625" style="1" bestFit="1" customWidth="1"/>
    <col min="16" max="16" width="14.140625" style="1" customWidth="1"/>
    <col min="17" max="17" width="12.85546875" style="1" bestFit="1" customWidth="1"/>
    <col min="18" max="18" width="12.85546875" style="1" customWidth="1"/>
    <col min="19" max="20" width="10" style="1" bestFit="1" customWidth="1"/>
    <col min="21" max="21" width="27.28515625" style="1" customWidth="1"/>
    <col min="22" max="22" width="13.7109375" style="1" bestFit="1" customWidth="1"/>
    <col min="23" max="23" width="22.42578125" style="1" bestFit="1" customWidth="1"/>
    <col min="24" max="24" width="10.42578125" style="1" customWidth="1"/>
    <col min="25" max="25" width="9.140625" style="1"/>
    <col min="26" max="26" width="9.28515625" style="1" bestFit="1" customWidth="1"/>
    <col min="27" max="29" width="9.140625" style="1"/>
    <col min="30" max="30" width="8.85546875" style="1" customWidth="1"/>
    <col min="31" max="31" width="39.28515625" style="1" customWidth="1"/>
    <col min="32" max="16384" width="9.140625" style="1"/>
  </cols>
  <sheetData>
    <row r="1" spans="1:31" ht="19.5" thickTop="1" thickBot="1" x14ac:dyDescent="0.25">
      <c r="B1" s="297" t="s">
        <v>609</v>
      </c>
      <c r="C1" s="298"/>
      <c r="D1" s="298"/>
      <c r="E1" s="299"/>
    </row>
    <row r="2" spans="1:31" s="2" customFormat="1" ht="14.25" thickTop="1" thickBot="1" x14ac:dyDescent="0.25">
      <c r="G2" s="306"/>
      <c r="H2" s="307"/>
      <c r="I2" s="308"/>
      <c r="J2" s="308"/>
      <c r="K2" s="308"/>
      <c r="L2" s="308"/>
      <c r="M2" s="308"/>
      <c r="N2" s="308"/>
      <c r="O2" s="308"/>
      <c r="P2" s="308"/>
      <c r="Q2" s="308"/>
      <c r="R2" s="308"/>
      <c r="S2" s="308"/>
      <c r="T2" s="309"/>
      <c r="X2" s="303" t="s">
        <v>47</v>
      </c>
      <c r="Y2" s="304"/>
      <c r="Z2" s="304"/>
      <c r="AA2" s="304"/>
      <c r="AB2" s="304"/>
      <c r="AC2" s="304"/>
      <c r="AD2" s="305"/>
    </row>
    <row r="3" spans="1:31" s="2" customFormat="1" ht="39.75" thickBot="1" x14ac:dyDescent="0.3">
      <c r="B3" s="7" t="s">
        <v>393</v>
      </c>
      <c r="C3" s="8" t="s">
        <v>610</v>
      </c>
      <c r="D3" s="8" t="s">
        <v>114</v>
      </c>
      <c r="E3" s="9" t="s">
        <v>23</v>
      </c>
      <c r="F3" s="175" t="s">
        <v>491</v>
      </c>
      <c r="G3" s="57" t="s">
        <v>484</v>
      </c>
      <c r="H3" s="57" t="s">
        <v>400</v>
      </c>
      <c r="I3" s="58" t="s">
        <v>401</v>
      </c>
      <c r="J3" s="10" t="s">
        <v>402</v>
      </c>
      <c r="K3" s="10" t="s">
        <v>59</v>
      </c>
      <c r="L3" s="10" t="s">
        <v>564</v>
      </c>
      <c r="M3" s="10" t="s">
        <v>197</v>
      </c>
      <c r="N3" s="10" t="s">
        <v>69</v>
      </c>
      <c r="O3" s="10" t="s">
        <v>17</v>
      </c>
      <c r="P3" s="10" t="s">
        <v>0</v>
      </c>
      <c r="Q3" s="10" t="s">
        <v>1</v>
      </c>
      <c r="R3" s="10" t="s">
        <v>70</v>
      </c>
      <c r="S3" s="10" t="s">
        <v>71</v>
      </c>
      <c r="T3" s="11" t="s">
        <v>72</v>
      </c>
      <c r="U3" s="12" t="s">
        <v>621</v>
      </c>
      <c r="V3" s="12" t="s">
        <v>2</v>
      </c>
      <c r="W3" s="175" t="s">
        <v>68</v>
      </c>
      <c r="X3" s="13" t="s">
        <v>44</v>
      </c>
      <c r="Y3" s="14" t="s">
        <v>45</v>
      </c>
      <c r="Z3" s="14" t="s">
        <v>46</v>
      </c>
      <c r="AA3" s="14" t="s">
        <v>3</v>
      </c>
      <c r="AB3" s="15" t="s">
        <v>4</v>
      </c>
      <c r="AC3" s="16" t="s">
        <v>168</v>
      </c>
      <c r="AD3" s="16" t="s">
        <v>48</v>
      </c>
      <c r="AE3" s="180" t="s">
        <v>29</v>
      </c>
    </row>
    <row r="4" spans="1:31" ht="39" customHeight="1" x14ac:dyDescent="0.2">
      <c r="A4" s="310" t="s">
        <v>529</v>
      </c>
      <c r="B4" s="66" t="s">
        <v>192</v>
      </c>
      <c r="C4" s="29" t="s">
        <v>15</v>
      </c>
      <c r="D4" s="40" t="s">
        <v>36</v>
      </c>
      <c r="E4" s="29" t="s">
        <v>24</v>
      </c>
      <c r="F4" s="177" t="s">
        <v>566</v>
      </c>
      <c r="G4" s="207" t="s">
        <v>7</v>
      </c>
      <c r="H4" s="46" t="s">
        <v>394</v>
      </c>
      <c r="I4" s="46" t="s">
        <v>7</v>
      </c>
      <c r="J4" s="46" t="s">
        <v>425</v>
      </c>
      <c r="K4" s="26" t="s">
        <v>60</v>
      </c>
      <c r="L4" s="171" t="s">
        <v>158</v>
      </c>
      <c r="M4" s="26" t="s">
        <v>163</v>
      </c>
      <c r="N4" s="26" t="s">
        <v>53</v>
      </c>
      <c r="O4" s="26" t="s">
        <v>40</v>
      </c>
      <c r="P4" s="26" t="s">
        <v>7</v>
      </c>
      <c r="Q4" s="26" t="s">
        <v>13</v>
      </c>
      <c r="R4" s="26" t="s">
        <v>13</v>
      </c>
      <c r="S4" s="26" t="s">
        <v>53</v>
      </c>
      <c r="T4" s="208" t="s">
        <v>42</v>
      </c>
      <c r="U4" s="181"/>
      <c r="V4" s="29" t="s">
        <v>62</v>
      </c>
      <c r="W4" s="176" t="s">
        <v>198</v>
      </c>
      <c r="X4" s="190"/>
      <c r="Y4" s="33"/>
      <c r="Z4" s="33"/>
      <c r="AA4" s="33"/>
      <c r="AB4" s="33"/>
      <c r="AC4" s="43"/>
      <c r="AD4" s="191">
        <v>19</v>
      </c>
      <c r="AE4" s="181"/>
    </row>
    <row r="5" spans="1:31" ht="38.25" x14ac:dyDescent="0.2">
      <c r="A5" s="311"/>
      <c r="B5" s="66" t="s">
        <v>565</v>
      </c>
      <c r="C5" s="29" t="s">
        <v>15</v>
      </c>
      <c r="D5" s="40" t="s">
        <v>36</v>
      </c>
      <c r="E5" s="47" t="s">
        <v>490</v>
      </c>
      <c r="F5" s="177" t="s">
        <v>493</v>
      </c>
      <c r="G5" s="207" t="s">
        <v>7</v>
      </c>
      <c r="H5" s="46" t="s">
        <v>394</v>
      </c>
      <c r="I5" s="46" t="s">
        <v>7</v>
      </c>
      <c r="J5" s="46" t="s">
        <v>425</v>
      </c>
      <c r="K5" s="26" t="s">
        <v>60</v>
      </c>
      <c r="L5" s="171" t="s">
        <v>158</v>
      </c>
      <c r="M5" s="26" t="s">
        <v>163</v>
      </c>
      <c r="N5" s="26" t="s">
        <v>53</v>
      </c>
      <c r="O5" s="26" t="s">
        <v>40</v>
      </c>
      <c r="P5" s="26" t="s">
        <v>7</v>
      </c>
      <c r="Q5" s="26" t="s">
        <v>13</v>
      </c>
      <c r="R5" s="26" t="s">
        <v>13</v>
      </c>
      <c r="S5" s="26" t="s">
        <v>53</v>
      </c>
      <c r="T5" s="208" t="s">
        <v>42</v>
      </c>
      <c r="U5" s="181"/>
      <c r="V5" s="29" t="s">
        <v>62</v>
      </c>
      <c r="W5" s="176" t="s">
        <v>198</v>
      </c>
      <c r="X5" s="190"/>
      <c r="Y5" s="33"/>
      <c r="Z5" s="33"/>
      <c r="AA5" s="33"/>
      <c r="AB5" s="33"/>
      <c r="AC5" s="43"/>
      <c r="AD5" s="191">
        <v>19</v>
      </c>
      <c r="AE5" s="181"/>
    </row>
    <row r="6" spans="1:31" ht="38.25" x14ac:dyDescent="0.2">
      <c r="A6" s="311"/>
      <c r="B6" s="173" t="s">
        <v>498</v>
      </c>
      <c r="C6" s="148" t="s">
        <v>74</v>
      </c>
      <c r="D6" s="40" t="s">
        <v>36</v>
      </c>
      <c r="E6" s="47" t="s">
        <v>24</v>
      </c>
      <c r="F6" s="176" t="s">
        <v>492</v>
      </c>
      <c r="G6" s="207" t="s">
        <v>485</v>
      </c>
      <c r="H6" s="46" t="s">
        <v>404</v>
      </c>
      <c r="I6" s="46" t="s">
        <v>424</v>
      </c>
      <c r="J6" s="46" t="s">
        <v>424</v>
      </c>
      <c r="K6" s="26" t="s">
        <v>60</v>
      </c>
      <c r="L6" s="171" t="s">
        <v>158</v>
      </c>
      <c r="M6" s="26"/>
      <c r="N6" s="26" t="s">
        <v>53</v>
      </c>
      <c r="O6" s="26" t="s">
        <v>40</v>
      </c>
      <c r="P6" s="26"/>
      <c r="Q6" s="26"/>
      <c r="R6" s="26"/>
      <c r="S6" s="26"/>
      <c r="T6" s="208"/>
      <c r="U6" s="181"/>
      <c r="V6" s="29"/>
      <c r="W6" s="176"/>
      <c r="X6" s="190"/>
      <c r="Y6" s="33"/>
      <c r="Z6" s="33"/>
      <c r="AA6" s="33"/>
      <c r="AB6" s="33"/>
      <c r="AC6" s="43"/>
      <c r="AD6" s="191"/>
      <c r="AE6" s="182" t="s">
        <v>476</v>
      </c>
    </row>
    <row r="7" spans="1:31" ht="38.25" x14ac:dyDescent="0.2">
      <c r="A7" s="311"/>
      <c r="B7" s="66" t="s">
        <v>39</v>
      </c>
      <c r="C7" s="29" t="s">
        <v>202</v>
      </c>
      <c r="D7" s="40" t="s">
        <v>36</v>
      </c>
      <c r="E7" s="29" t="s">
        <v>24</v>
      </c>
      <c r="F7" s="177" t="s">
        <v>533</v>
      </c>
      <c r="G7" s="207" t="s">
        <v>13</v>
      </c>
      <c r="H7" s="46" t="s">
        <v>474</v>
      </c>
      <c r="I7" s="46" t="s">
        <v>7</v>
      </c>
      <c r="J7" s="46" t="s">
        <v>7</v>
      </c>
      <c r="K7" s="26" t="s">
        <v>60</v>
      </c>
      <c r="L7" s="171" t="s">
        <v>158</v>
      </c>
      <c r="M7" s="26" t="s">
        <v>27</v>
      </c>
      <c r="N7" s="26" t="s">
        <v>53</v>
      </c>
      <c r="O7" s="26" t="s">
        <v>40</v>
      </c>
      <c r="P7" s="26" t="s">
        <v>41</v>
      </c>
      <c r="Q7" s="26" t="s">
        <v>13</v>
      </c>
      <c r="R7" s="26" t="s">
        <v>13</v>
      </c>
      <c r="S7" s="26" t="s">
        <v>53</v>
      </c>
      <c r="T7" s="208" t="s">
        <v>42</v>
      </c>
      <c r="U7" s="181"/>
      <c r="V7" s="29" t="s">
        <v>62</v>
      </c>
      <c r="W7" s="176" t="s">
        <v>198</v>
      </c>
      <c r="X7" s="190" t="s">
        <v>432</v>
      </c>
      <c r="Y7" s="33" t="s">
        <v>443</v>
      </c>
      <c r="Z7" s="33" t="s">
        <v>444</v>
      </c>
      <c r="AA7" s="33" t="s">
        <v>446</v>
      </c>
      <c r="AB7" s="33" t="s">
        <v>447</v>
      </c>
      <c r="AC7" s="43"/>
      <c r="AD7" s="191">
        <v>19</v>
      </c>
      <c r="AE7" s="181"/>
    </row>
    <row r="8" spans="1:31" ht="38.25" x14ac:dyDescent="0.2">
      <c r="A8" s="311"/>
      <c r="B8" s="66" t="s">
        <v>153</v>
      </c>
      <c r="C8" s="47" t="s">
        <v>242</v>
      </c>
      <c r="D8" s="40" t="s">
        <v>36</v>
      </c>
      <c r="E8" s="29" t="s">
        <v>24</v>
      </c>
      <c r="F8" s="176" t="s">
        <v>493</v>
      </c>
      <c r="G8" s="207" t="s">
        <v>13</v>
      </c>
      <c r="H8" s="46" t="s">
        <v>405</v>
      </c>
      <c r="I8" s="46" t="s">
        <v>452</v>
      </c>
      <c r="J8" s="46" t="s">
        <v>452</v>
      </c>
      <c r="K8" s="26" t="s">
        <v>60</v>
      </c>
      <c r="L8" s="171" t="s">
        <v>158</v>
      </c>
      <c r="M8" s="26" t="s">
        <v>27</v>
      </c>
      <c r="N8" s="26" t="s">
        <v>53</v>
      </c>
      <c r="O8" s="26"/>
      <c r="P8" s="26"/>
      <c r="Q8" s="26" t="s">
        <v>13</v>
      </c>
      <c r="R8" s="26" t="s">
        <v>13</v>
      </c>
      <c r="S8" s="26" t="s">
        <v>53</v>
      </c>
      <c r="T8" s="208"/>
      <c r="U8" s="181"/>
      <c r="V8" s="29"/>
      <c r="W8" s="176"/>
      <c r="X8" s="190"/>
      <c r="Y8" s="33"/>
      <c r="Z8" s="33"/>
      <c r="AA8" s="33"/>
      <c r="AB8" s="33"/>
      <c r="AC8" s="43"/>
      <c r="AD8" s="191"/>
      <c r="AE8" s="181"/>
    </row>
    <row r="9" spans="1:31" ht="38.25" x14ac:dyDescent="0.2">
      <c r="A9" s="311"/>
      <c r="B9" s="66" t="s">
        <v>35</v>
      </c>
      <c r="C9" s="29" t="s">
        <v>15</v>
      </c>
      <c r="D9" s="40" t="s">
        <v>36</v>
      </c>
      <c r="E9" s="29" t="s">
        <v>24</v>
      </c>
      <c r="F9" s="176" t="s">
        <v>493</v>
      </c>
      <c r="G9" s="207" t="s">
        <v>13</v>
      </c>
      <c r="H9" s="46" t="s">
        <v>412</v>
      </c>
      <c r="I9" s="46" t="s">
        <v>52</v>
      </c>
      <c r="J9" s="26" t="s">
        <v>52</v>
      </c>
      <c r="K9" s="26" t="s">
        <v>60</v>
      </c>
      <c r="L9" s="171" t="s">
        <v>158</v>
      </c>
      <c r="M9" s="26"/>
      <c r="N9" s="26" t="s">
        <v>53</v>
      </c>
      <c r="O9" s="26"/>
      <c r="P9" s="26" t="s">
        <v>41</v>
      </c>
      <c r="Q9" s="26" t="s">
        <v>13</v>
      </c>
      <c r="R9" s="26" t="s">
        <v>13</v>
      </c>
      <c r="S9" s="26" t="s">
        <v>53</v>
      </c>
      <c r="T9" s="208" t="s">
        <v>42</v>
      </c>
      <c r="U9" s="181"/>
      <c r="V9" s="29" t="s">
        <v>62</v>
      </c>
      <c r="W9" s="176" t="s">
        <v>201</v>
      </c>
      <c r="X9" s="190" t="s">
        <v>431</v>
      </c>
      <c r="Y9" s="33" t="s">
        <v>443</v>
      </c>
      <c r="Z9" s="33" t="s">
        <v>444</v>
      </c>
      <c r="AA9" s="33" t="s">
        <v>446</v>
      </c>
      <c r="AB9" s="33" t="s">
        <v>447</v>
      </c>
      <c r="AC9" s="43"/>
      <c r="AD9" s="191">
        <v>19</v>
      </c>
      <c r="AE9" s="181"/>
    </row>
    <row r="10" spans="1:31" ht="38.25" x14ac:dyDescent="0.2">
      <c r="A10" s="311"/>
      <c r="B10" s="66" t="s">
        <v>193</v>
      </c>
      <c r="C10" s="29">
        <v>1978</v>
      </c>
      <c r="D10" s="40" t="s">
        <v>36</v>
      </c>
      <c r="E10" s="29" t="s">
        <v>24</v>
      </c>
      <c r="F10" s="176" t="s">
        <v>493</v>
      </c>
      <c r="G10" s="207" t="s">
        <v>13</v>
      </c>
      <c r="H10" s="46" t="s">
        <v>403</v>
      </c>
      <c r="I10" s="46" t="s">
        <v>13</v>
      </c>
      <c r="J10" s="46" t="s">
        <v>13</v>
      </c>
      <c r="K10" s="26" t="s">
        <v>60</v>
      </c>
      <c r="L10" s="171" t="s">
        <v>158</v>
      </c>
      <c r="M10" s="26" t="s">
        <v>199</v>
      </c>
      <c r="N10" s="26" t="s">
        <v>53</v>
      </c>
      <c r="O10" s="26" t="s">
        <v>200</v>
      </c>
      <c r="P10" s="26" t="s">
        <v>7</v>
      </c>
      <c r="Q10" s="26" t="s">
        <v>13</v>
      </c>
      <c r="R10" s="26" t="s">
        <v>13</v>
      </c>
      <c r="S10" s="26" t="s">
        <v>53</v>
      </c>
      <c r="T10" s="208" t="s">
        <v>42</v>
      </c>
      <c r="U10" s="181"/>
      <c r="V10" s="29" t="s">
        <v>62</v>
      </c>
      <c r="W10" s="176" t="s">
        <v>198</v>
      </c>
      <c r="X10" s="190"/>
      <c r="Y10" s="33"/>
      <c r="Z10" s="33"/>
      <c r="AA10" s="33"/>
      <c r="AB10" s="33"/>
      <c r="AC10" s="43"/>
      <c r="AD10" s="191">
        <v>19</v>
      </c>
      <c r="AE10" s="181"/>
    </row>
    <row r="11" spans="1:31" ht="38.25" x14ac:dyDescent="0.2">
      <c r="A11" s="311"/>
      <c r="B11" s="66" t="s">
        <v>75</v>
      </c>
      <c r="C11" s="47" t="s">
        <v>242</v>
      </c>
      <c r="D11" s="40" t="s">
        <v>36</v>
      </c>
      <c r="E11" s="29" t="s">
        <v>24</v>
      </c>
      <c r="F11" s="176" t="s">
        <v>493</v>
      </c>
      <c r="G11" s="207" t="s">
        <v>13</v>
      </c>
      <c r="H11" s="46" t="s">
        <v>403</v>
      </c>
      <c r="I11" s="46" t="s">
        <v>13</v>
      </c>
      <c r="J11" s="26" t="s">
        <v>13</v>
      </c>
      <c r="K11" s="26" t="s">
        <v>60</v>
      </c>
      <c r="L11" s="171" t="s">
        <v>158</v>
      </c>
      <c r="M11" s="26" t="s">
        <v>199</v>
      </c>
      <c r="N11" s="26" t="s">
        <v>53</v>
      </c>
      <c r="O11" s="26" t="s">
        <v>91</v>
      </c>
      <c r="P11" s="26" t="s">
        <v>7</v>
      </c>
      <c r="Q11" s="26" t="s">
        <v>13</v>
      </c>
      <c r="R11" s="26" t="s">
        <v>13</v>
      </c>
      <c r="S11" s="26" t="s">
        <v>53</v>
      </c>
      <c r="T11" s="208" t="s">
        <v>42</v>
      </c>
      <c r="U11" s="181" t="s">
        <v>241</v>
      </c>
      <c r="V11" s="29" t="s">
        <v>62</v>
      </c>
      <c r="W11" s="176" t="s">
        <v>94</v>
      </c>
      <c r="X11" s="190"/>
      <c r="Y11" s="33"/>
      <c r="Z11" s="33"/>
      <c r="AA11" s="33"/>
      <c r="AB11" s="33"/>
      <c r="AC11" s="43">
        <v>2</v>
      </c>
      <c r="AD11" s="191">
        <v>19</v>
      </c>
      <c r="AE11" s="181"/>
    </row>
    <row r="12" spans="1:31" ht="38.25" x14ac:dyDescent="0.2">
      <c r="A12" s="311"/>
      <c r="B12" s="66" t="s">
        <v>37</v>
      </c>
      <c r="C12" s="29" t="s">
        <v>15</v>
      </c>
      <c r="D12" s="40" t="s">
        <v>36</v>
      </c>
      <c r="E12" s="29" t="s">
        <v>24</v>
      </c>
      <c r="F12" s="176" t="s">
        <v>493</v>
      </c>
      <c r="G12" s="207" t="s">
        <v>13</v>
      </c>
      <c r="H12" s="46" t="s">
        <v>412</v>
      </c>
      <c r="I12" s="46" t="s">
        <v>51</v>
      </c>
      <c r="J12" s="46" t="s">
        <v>51</v>
      </c>
      <c r="K12" s="26" t="s">
        <v>60</v>
      </c>
      <c r="L12" s="171" t="s">
        <v>158</v>
      </c>
      <c r="M12" s="26"/>
      <c r="N12" s="26" t="s">
        <v>53</v>
      </c>
      <c r="O12" s="26"/>
      <c r="P12" s="46" t="s">
        <v>41</v>
      </c>
      <c r="Q12" s="46" t="s">
        <v>13</v>
      </c>
      <c r="R12" s="46" t="s">
        <v>13</v>
      </c>
      <c r="S12" s="26" t="s">
        <v>53</v>
      </c>
      <c r="T12" s="208" t="s">
        <v>42</v>
      </c>
      <c r="U12" s="181"/>
      <c r="V12" s="29" t="s">
        <v>62</v>
      </c>
      <c r="W12" s="177" t="s">
        <v>201</v>
      </c>
      <c r="X12" s="190" t="s">
        <v>431</v>
      </c>
      <c r="Y12" s="33" t="s">
        <v>443</v>
      </c>
      <c r="Z12" s="33" t="s">
        <v>444</v>
      </c>
      <c r="AA12" s="33" t="s">
        <v>446</v>
      </c>
      <c r="AB12" s="33" t="s">
        <v>447</v>
      </c>
      <c r="AC12" s="43"/>
      <c r="AD12" s="191">
        <v>19</v>
      </c>
      <c r="AE12" s="181"/>
    </row>
    <row r="13" spans="1:31" ht="38.25" x14ac:dyDescent="0.2">
      <c r="A13" s="311"/>
      <c r="B13" s="66" t="s">
        <v>194</v>
      </c>
      <c r="C13" s="29">
        <v>1978</v>
      </c>
      <c r="D13" s="40" t="s">
        <v>36</v>
      </c>
      <c r="E13" s="29" t="s">
        <v>24</v>
      </c>
      <c r="F13" s="176" t="s">
        <v>493</v>
      </c>
      <c r="G13" s="207"/>
      <c r="H13" s="46" t="s">
        <v>6</v>
      </c>
      <c r="I13" s="46" t="s">
        <v>13</v>
      </c>
      <c r="J13" s="46" t="s">
        <v>399</v>
      </c>
      <c r="K13" s="26" t="s">
        <v>60</v>
      </c>
      <c r="L13" s="171" t="s">
        <v>158</v>
      </c>
      <c r="M13" s="46" t="s">
        <v>99</v>
      </c>
      <c r="N13" s="26"/>
      <c r="O13" s="46" t="s">
        <v>99</v>
      </c>
      <c r="P13" s="26" t="s">
        <v>51</v>
      </c>
      <c r="Q13" s="26"/>
      <c r="R13" s="26"/>
      <c r="S13" s="26"/>
      <c r="T13" s="208"/>
      <c r="U13" s="181"/>
      <c r="V13" s="29"/>
      <c r="W13" s="177" t="s">
        <v>398</v>
      </c>
      <c r="X13" s="190"/>
      <c r="Y13" s="33"/>
      <c r="Z13" s="33"/>
      <c r="AA13" s="33"/>
      <c r="AB13" s="33"/>
      <c r="AC13" s="43"/>
      <c r="AD13" s="191"/>
      <c r="AE13" s="181"/>
    </row>
    <row r="14" spans="1:31" ht="38.25" x14ac:dyDescent="0.2">
      <c r="A14" s="311"/>
      <c r="B14" s="66" t="s">
        <v>458</v>
      </c>
      <c r="C14" s="29">
        <v>1971</v>
      </c>
      <c r="D14" s="40" t="s">
        <v>36</v>
      </c>
      <c r="E14" s="29" t="s">
        <v>24</v>
      </c>
      <c r="F14" s="176" t="s">
        <v>493</v>
      </c>
      <c r="G14" s="207"/>
      <c r="H14" s="46" t="s">
        <v>240</v>
      </c>
      <c r="I14" s="46" t="s">
        <v>13</v>
      </c>
      <c r="J14" s="46" t="s">
        <v>423</v>
      </c>
      <c r="K14" s="26" t="s">
        <v>60</v>
      </c>
      <c r="L14" s="171" t="s">
        <v>158</v>
      </c>
      <c r="M14" s="26"/>
      <c r="N14" s="26" t="s">
        <v>53</v>
      </c>
      <c r="O14" s="26"/>
      <c r="P14" s="26" t="s">
        <v>460</v>
      </c>
      <c r="Q14" s="26" t="s">
        <v>13</v>
      </c>
      <c r="R14" s="26" t="s">
        <v>13</v>
      </c>
      <c r="S14" s="26" t="s">
        <v>42</v>
      </c>
      <c r="T14" s="208" t="s">
        <v>42</v>
      </c>
      <c r="U14" s="181"/>
      <c r="V14" s="29" t="s">
        <v>62</v>
      </c>
      <c r="W14" s="176"/>
      <c r="X14" s="190" t="s">
        <v>459</v>
      </c>
      <c r="Y14" s="33"/>
      <c r="Z14" s="33" t="s">
        <v>457</v>
      </c>
      <c r="AA14" s="33" t="s">
        <v>446</v>
      </c>
      <c r="AB14" s="33"/>
      <c r="AC14" s="43"/>
      <c r="AD14" s="191">
        <v>19</v>
      </c>
      <c r="AE14" s="181"/>
    </row>
    <row r="15" spans="1:31" ht="38.25" x14ac:dyDescent="0.2">
      <c r="A15" s="311"/>
      <c r="B15" s="66" t="s">
        <v>38</v>
      </c>
      <c r="C15" s="29" t="s">
        <v>15</v>
      </c>
      <c r="D15" s="40" t="s">
        <v>36</v>
      </c>
      <c r="E15" s="29" t="s">
        <v>24</v>
      </c>
      <c r="F15" s="176" t="s">
        <v>493</v>
      </c>
      <c r="G15" s="207" t="s">
        <v>13</v>
      </c>
      <c r="H15" s="46" t="s">
        <v>403</v>
      </c>
      <c r="I15" s="46" t="s">
        <v>13</v>
      </c>
      <c r="J15" s="46" t="s">
        <v>423</v>
      </c>
      <c r="K15" s="26" t="s">
        <v>60</v>
      </c>
      <c r="L15" s="171" t="s">
        <v>158</v>
      </c>
      <c r="M15" s="26"/>
      <c r="N15" s="26" t="s">
        <v>53</v>
      </c>
      <c r="O15" s="26"/>
      <c r="P15" s="46" t="s">
        <v>471</v>
      </c>
      <c r="Q15" s="26" t="s">
        <v>8</v>
      </c>
      <c r="R15" s="26" t="s">
        <v>8</v>
      </c>
      <c r="S15" s="26" t="s">
        <v>53</v>
      </c>
      <c r="T15" s="208" t="s">
        <v>42</v>
      </c>
      <c r="U15" s="181"/>
      <c r="V15" s="29" t="s">
        <v>62</v>
      </c>
      <c r="W15" s="176" t="s">
        <v>92</v>
      </c>
      <c r="X15" s="190" t="s">
        <v>431</v>
      </c>
      <c r="Y15" s="33" t="s">
        <v>443</v>
      </c>
      <c r="Z15" s="33" t="s">
        <v>444</v>
      </c>
      <c r="AA15" s="33" t="s">
        <v>446</v>
      </c>
      <c r="AB15" s="33" t="s">
        <v>447</v>
      </c>
      <c r="AC15" s="43"/>
      <c r="AD15" s="191">
        <v>19</v>
      </c>
      <c r="AE15" s="181"/>
    </row>
    <row r="16" spans="1:31" ht="38.25" x14ac:dyDescent="0.2">
      <c r="A16" s="311"/>
      <c r="B16" s="66" t="s">
        <v>195</v>
      </c>
      <c r="C16" s="60">
        <v>1978</v>
      </c>
      <c r="D16" s="40" t="s">
        <v>36</v>
      </c>
      <c r="E16" s="29" t="s">
        <v>24</v>
      </c>
      <c r="F16" s="176" t="s">
        <v>493</v>
      </c>
      <c r="G16" s="209"/>
      <c r="H16" s="26"/>
      <c r="I16" s="46" t="s">
        <v>422</v>
      </c>
      <c r="J16" s="46" t="s">
        <v>422</v>
      </c>
      <c r="K16" s="26" t="s">
        <v>60</v>
      </c>
      <c r="L16" s="171" t="s">
        <v>158</v>
      </c>
      <c r="M16" s="26" t="s">
        <v>203</v>
      </c>
      <c r="N16" s="26" t="s">
        <v>53</v>
      </c>
      <c r="O16" s="26" t="s">
        <v>99</v>
      </c>
      <c r="P16" s="46" t="s">
        <v>7</v>
      </c>
      <c r="Q16" s="26" t="s">
        <v>13</v>
      </c>
      <c r="R16" s="26" t="s">
        <v>13</v>
      </c>
      <c r="S16" s="26" t="s">
        <v>53</v>
      </c>
      <c r="T16" s="208" t="s">
        <v>42</v>
      </c>
      <c r="U16" s="181"/>
      <c r="V16" s="29" t="s">
        <v>62</v>
      </c>
      <c r="W16" s="176" t="s">
        <v>92</v>
      </c>
      <c r="X16" s="190" t="s">
        <v>431</v>
      </c>
      <c r="Y16" s="33" t="s">
        <v>443</v>
      </c>
      <c r="Z16" s="33" t="s">
        <v>444</v>
      </c>
      <c r="AA16" s="33" t="s">
        <v>446</v>
      </c>
      <c r="AB16" s="33" t="s">
        <v>447</v>
      </c>
      <c r="AC16" s="43"/>
      <c r="AD16" s="191">
        <v>19</v>
      </c>
      <c r="AE16" s="181"/>
    </row>
    <row r="17" spans="1:31" ht="38.25" x14ac:dyDescent="0.2">
      <c r="A17" s="311"/>
      <c r="B17" s="66" t="s">
        <v>453</v>
      </c>
      <c r="C17" s="62">
        <v>1971</v>
      </c>
      <c r="D17" s="40" t="s">
        <v>454</v>
      </c>
      <c r="E17" s="29" t="s">
        <v>24</v>
      </c>
      <c r="F17" s="176" t="s">
        <v>493</v>
      </c>
      <c r="G17" s="207"/>
      <c r="H17" s="46" t="s">
        <v>240</v>
      </c>
      <c r="I17" s="46" t="s">
        <v>452</v>
      </c>
      <c r="J17" s="46" t="s">
        <v>452</v>
      </c>
      <c r="K17" s="26" t="s">
        <v>60</v>
      </c>
      <c r="L17" s="171" t="s">
        <v>158</v>
      </c>
      <c r="M17" s="26" t="s">
        <v>27</v>
      </c>
      <c r="N17" s="26" t="s">
        <v>53</v>
      </c>
      <c r="O17" s="26"/>
      <c r="P17" s="26"/>
      <c r="Q17" s="26" t="s">
        <v>13</v>
      </c>
      <c r="R17" s="26" t="s">
        <v>13</v>
      </c>
      <c r="S17" s="26" t="s">
        <v>42</v>
      </c>
      <c r="T17" s="208" t="s">
        <v>42</v>
      </c>
      <c r="U17" s="181" t="s">
        <v>271</v>
      </c>
      <c r="V17" s="29" t="s">
        <v>272</v>
      </c>
      <c r="W17" s="176"/>
      <c r="X17" s="190" t="s">
        <v>455</v>
      </c>
      <c r="Y17" s="33"/>
      <c r="Z17" s="33" t="s">
        <v>457</v>
      </c>
      <c r="AA17" s="33" t="s">
        <v>456</v>
      </c>
      <c r="AB17" s="33"/>
      <c r="AC17" s="43"/>
      <c r="AD17" s="191">
        <v>18</v>
      </c>
      <c r="AE17" s="181"/>
    </row>
    <row r="18" spans="1:31" ht="38.25" x14ac:dyDescent="0.2">
      <c r="A18" s="311"/>
      <c r="B18" s="66" t="s">
        <v>475</v>
      </c>
      <c r="C18" s="62"/>
      <c r="D18" s="40" t="s">
        <v>454</v>
      </c>
      <c r="E18" s="47" t="s">
        <v>24</v>
      </c>
      <c r="F18" s="177" t="s">
        <v>493</v>
      </c>
      <c r="G18" s="207"/>
      <c r="H18" s="46"/>
      <c r="I18" s="46"/>
      <c r="J18" s="46"/>
      <c r="K18" s="26"/>
      <c r="L18" s="171" t="s">
        <v>158</v>
      </c>
      <c r="M18" s="26"/>
      <c r="N18" s="26"/>
      <c r="O18" s="26"/>
      <c r="P18" s="26"/>
      <c r="Q18" s="26"/>
      <c r="R18" s="26"/>
      <c r="S18" s="26"/>
      <c r="T18" s="208"/>
      <c r="U18" s="181"/>
      <c r="V18" s="29"/>
      <c r="W18" s="176"/>
      <c r="X18" s="190"/>
      <c r="Y18" s="33"/>
      <c r="Z18" s="33"/>
      <c r="AA18" s="33"/>
      <c r="AB18" s="33"/>
      <c r="AC18" s="43"/>
      <c r="AD18" s="191"/>
      <c r="AE18" s="181"/>
    </row>
    <row r="19" spans="1:31" ht="38.25" x14ac:dyDescent="0.2">
      <c r="A19" s="311"/>
      <c r="B19" s="66" t="s">
        <v>269</v>
      </c>
      <c r="C19" s="62">
        <v>1971</v>
      </c>
      <c r="D19" s="40" t="s">
        <v>36</v>
      </c>
      <c r="E19" s="29" t="s">
        <v>24</v>
      </c>
      <c r="F19" s="176" t="s">
        <v>494</v>
      </c>
      <c r="G19" s="207"/>
      <c r="H19" s="46" t="s">
        <v>407</v>
      </c>
      <c r="I19" s="46" t="s">
        <v>421</v>
      </c>
      <c r="J19" s="46" t="s">
        <v>421</v>
      </c>
      <c r="K19" s="26" t="s">
        <v>60</v>
      </c>
      <c r="L19" s="171" t="s">
        <v>158</v>
      </c>
      <c r="M19" s="26" t="s">
        <v>156</v>
      </c>
      <c r="N19" s="26" t="s">
        <v>53</v>
      </c>
      <c r="O19" s="26" t="s">
        <v>270</v>
      </c>
      <c r="P19" s="26" t="s">
        <v>7</v>
      </c>
      <c r="Q19" s="26" t="s">
        <v>13</v>
      </c>
      <c r="R19" s="26" t="s">
        <v>13</v>
      </c>
      <c r="S19" s="26" t="s">
        <v>42</v>
      </c>
      <c r="T19" s="208" t="s">
        <v>42</v>
      </c>
      <c r="U19" s="181" t="s">
        <v>271</v>
      </c>
      <c r="V19" s="29" t="s">
        <v>272</v>
      </c>
      <c r="W19" s="176"/>
      <c r="X19" s="190"/>
      <c r="Y19" s="33"/>
      <c r="Z19" s="33"/>
      <c r="AA19" s="33"/>
      <c r="AB19" s="33"/>
      <c r="AC19" s="43"/>
      <c r="AD19" s="191"/>
      <c r="AE19" s="181"/>
    </row>
    <row r="20" spans="1:31" ht="38.25" x14ac:dyDescent="0.2">
      <c r="A20" s="311"/>
      <c r="B20" s="173" t="s">
        <v>154</v>
      </c>
      <c r="C20" s="148" t="s">
        <v>74</v>
      </c>
      <c r="D20" s="40" t="s">
        <v>36</v>
      </c>
      <c r="E20" s="29" t="s">
        <v>24</v>
      </c>
      <c r="F20" s="176" t="s">
        <v>493</v>
      </c>
      <c r="G20" s="207" t="s">
        <v>13</v>
      </c>
      <c r="H20" s="46" t="s">
        <v>406</v>
      </c>
      <c r="I20" s="46" t="s">
        <v>424</v>
      </c>
      <c r="J20" s="46" t="s">
        <v>424</v>
      </c>
      <c r="K20" s="26"/>
      <c r="L20" s="171" t="s">
        <v>158</v>
      </c>
      <c r="M20" s="26" t="s">
        <v>27</v>
      </c>
      <c r="N20" s="26" t="s">
        <v>53</v>
      </c>
      <c r="O20" s="26"/>
      <c r="P20" s="26"/>
      <c r="Q20" s="26" t="s">
        <v>13</v>
      </c>
      <c r="R20" s="26" t="s">
        <v>13</v>
      </c>
      <c r="S20" s="26" t="s">
        <v>53</v>
      </c>
      <c r="T20" s="208"/>
      <c r="U20" s="181"/>
      <c r="V20" s="29"/>
      <c r="W20" s="176"/>
      <c r="X20" s="190" t="s">
        <v>431</v>
      </c>
      <c r="Y20" s="33" t="s">
        <v>443</v>
      </c>
      <c r="Z20" s="33" t="s">
        <v>444</v>
      </c>
      <c r="AA20" s="33" t="s">
        <v>446</v>
      </c>
      <c r="AB20" s="33" t="s">
        <v>447</v>
      </c>
      <c r="AC20" s="43"/>
      <c r="AD20" s="191">
        <v>19</v>
      </c>
      <c r="AE20" s="183" t="s">
        <v>155</v>
      </c>
    </row>
    <row r="21" spans="1:31" ht="38.25" x14ac:dyDescent="0.2">
      <c r="A21" s="311"/>
      <c r="B21" s="173" t="s">
        <v>569</v>
      </c>
      <c r="C21" s="148" t="s">
        <v>74</v>
      </c>
      <c r="D21" s="40" t="s">
        <v>36</v>
      </c>
      <c r="E21" s="47" t="s">
        <v>567</v>
      </c>
      <c r="F21" s="176"/>
      <c r="G21" s="207"/>
      <c r="H21" s="46"/>
      <c r="I21" s="46" t="s">
        <v>417</v>
      </c>
      <c r="J21" s="46" t="s">
        <v>568</v>
      </c>
      <c r="K21" s="46" t="s">
        <v>60</v>
      </c>
      <c r="L21" s="26" t="s">
        <v>158</v>
      </c>
      <c r="M21" s="26"/>
      <c r="N21" s="26"/>
      <c r="O21" s="26"/>
      <c r="P21" s="26"/>
      <c r="Q21" s="26"/>
      <c r="R21" s="26"/>
      <c r="S21" s="26"/>
      <c r="T21" s="208"/>
      <c r="U21" s="181"/>
      <c r="V21" s="29"/>
      <c r="W21" s="176"/>
      <c r="X21" s="190"/>
      <c r="Y21" s="33"/>
      <c r="Z21" s="33"/>
      <c r="AA21" s="33"/>
      <c r="AB21" s="33"/>
      <c r="AC21" s="43"/>
      <c r="AD21" s="191"/>
      <c r="AE21" s="183" t="s">
        <v>155</v>
      </c>
    </row>
    <row r="22" spans="1:31" ht="38.25" x14ac:dyDescent="0.2">
      <c r="A22" s="311"/>
      <c r="B22" s="173" t="s">
        <v>109</v>
      </c>
      <c r="C22" s="148" t="s">
        <v>74</v>
      </c>
      <c r="D22" s="40" t="s">
        <v>36</v>
      </c>
      <c r="E22" s="29" t="s">
        <v>24</v>
      </c>
      <c r="F22" s="176" t="s">
        <v>493</v>
      </c>
      <c r="G22" s="207" t="s">
        <v>13</v>
      </c>
      <c r="H22" s="46" t="s">
        <v>404</v>
      </c>
      <c r="I22" s="46" t="s">
        <v>419</v>
      </c>
      <c r="J22" s="46" t="s">
        <v>419</v>
      </c>
      <c r="K22" s="26" t="s">
        <v>60</v>
      </c>
      <c r="L22" s="26" t="s">
        <v>158</v>
      </c>
      <c r="M22" s="26" t="s">
        <v>156</v>
      </c>
      <c r="N22" s="26" t="s">
        <v>53</v>
      </c>
      <c r="O22" s="26" t="s">
        <v>91</v>
      </c>
      <c r="P22" s="26" t="s">
        <v>7</v>
      </c>
      <c r="Q22" s="26" t="s">
        <v>13</v>
      </c>
      <c r="R22" s="26" t="s">
        <v>13</v>
      </c>
      <c r="S22" s="26" t="s">
        <v>53</v>
      </c>
      <c r="T22" s="208" t="s">
        <v>42</v>
      </c>
      <c r="U22" s="181" t="s">
        <v>241</v>
      </c>
      <c r="V22" s="29" t="s">
        <v>62</v>
      </c>
      <c r="W22" s="176" t="s">
        <v>157</v>
      </c>
      <c r="X22" s="190"/>
      <c r="Y22" s="33"/>
      <c r="Z22" s="33"/>
      <c r="AA22" s="33"/>
      <c r="AB22" s="33"/>
      <c r="AC22" s="43"/>
      <c r="AD22" s="191"/>
      <c r="AE22" s="183" t="s">
        <v>155</v>
      </c>
    </row>
    <row r="23" spans="1:31" ht="38.25" x14ac:dyDescent="0.2">
      <c r="A23" s="311"/>
      <c r="B23" s="173" t="s">
        <v>165</v>
      </c>
      <c r="C23" s="148" t="s">
        <v>74</v>
      </c>
      <c r="D23" s="40" t="s">
        <v>36</v>
      </c>
      <c r="E23" s="29" t="s">
        <v>24</v>
      </c>
      <c r="F23" s="176" t="s">
        <v>493</v>
      </c>
      <c r="G23" s="209" t="s">
        <v>13</v>
      </c>
      <c r="H23" s="26"/>
      <c r="I23" s="46" t="s">
        <v>419</v>
      </c>
      <c r="J23" s="46" t="s">
        <v>420</v>
      </c>
      <c r="K23" s="26"/>
      <c r="L23" s="26" t="s">
        <v>158</v>
      </c>
      <c r="M23" s="26" t="s">
        <v>163</v>
      </c>
      <c r="N23" s="26" t="s">
        <v>53</v>
      </c>
      <c r="O23" s="26"/>
      <c r="P23" s="26"/>
      <c r="Q23" s="26"/>
      <c r="R23" s="26"/>
      <c r="S23" s="26"/>
      <c r="T23" s="208"/>
      <c r="U23" s="181"/>
      <c r="V23" s="29"/>
      <c r="W23" s="176" t="s">
        <v>157</v>
      </c>
      <c r="X23" s="190"/>
      <c r="Y23" s="33"/>
      <c r="Z23" s="33"/>
      <c r="AA23" s="33"/>
      <c r="AB23" s="33"/>
      <c r="AC23" s="43"/>
      <c r="AD23" s="191"/>
      <c r="AE23" s="183" t="s">
        <v>155</v>
      </c>
    </row>
    <row r="24" spans="1:31" ht="38.25" x14ac:dyDescent="0.2">
      <c r="A24" s="311"/>
      <c r="B24" s="173" t="s">
        <v>367</v>
      </c>
      <c r="C24" s="148" t="s">
        <v>74</v>
      </c>
      <c r="D24" s="40" t="s">
        <v>36</v>
      </c>
      <c r="E24" s="29" t="s">
        <v>24</v>
      </c>
      <c r="F24" s="176" t="s">
        <v>493</v>
      </c>
      <c r="G24" s="209"/>
      <c r="H24" s="26"/>
      <c r="I24" s="26"/>
      <c r="J24" s="26"/>
      <c r="K24" s="26"/>
      <c r="L24" s="26" t="s">
        <v>158</v>
      </c>
      <c r="M24" s="26"/>
      <c r="N24" s="26" t="s">
        <v>53</v>
      </c>
      <c r="O24" s="26"/>
      <c r="P24" s="26"/>
      <c r="Q24" s="26"/>
      <c r="R24" s="26"/>
      <c r="S24" s="26"/>
      <c r="T24" s="208"/>
      <c r="U24" s="181"/>
      <c r="V24" s="29"/>
      <c r="W24" s="176"/>
      <c r="X24" s="190"/>
      <c r="Y24" s="33"/>
      <c r="Z24" s="33"/>
      <c r="AA24" s="33"/>
      <c r="AB24" s="33"/>
      <c r="AC24" s="43"/>
      <c r="AD24" s="191"/>
      <c r="AE24" s="183" t="s">
        <v>155</v>
      </c>
    </row>
    <row r="25" spans="1:31" ht="38.25" x14ac:dyDescent="0.2">
      <c r="A25" s="311"/>
      <c r="B25" s="173" t="s">
        <v>368</v>
      </c>
      <c r="C25" s="148" t="s">
        <v>74</v>
      </c>
      <c r="D25" s="40" t="s">
        <v>36</v>
      </c>
      <c r="E25" s="29" t="s">
        <v>24</v>
      </c>
      <c r="F25" s="176" t="s">
        <v>493</v>
      </c>
      <c r="G25" s="209"/>
      <c r="H25" s="26"/>
      <c r="I25" s="26"/>
      <c r="J25" s="26"/>
      <c r="K25" s="26"/>
      <c r="L25" s="26" t="s">
        <v>158</v>
      </c>
      <c r="M25" s="26"/>
      <c r="N25" s="26" t="s">
        <v>53</v>
      </c>
      <c r="O25" s="26"/>
      <c r="P25" s="26"/>
      <c r="Q25" s="26"/>
      <c r="R25" s="26"/>
      <c r="S25" s="26"/>
      <c r="T25" s="208"/>
      <c r="U25" s="181"/>
      <c r="V25" s="29"/>
      <c r="W25" s="176"/>
      <c r="X25" s="190"/>
      <c r="Y25" s="33"/>
      <c r="Z25" s="33"/>
      <c r="AA25" s="33"/>
      <c r="AB25" s="33"/>
      <c r="AC25" s="43"/>
      <c r="AD25" s="191"/>
      <c r="AE25" s="183" t="s">
        <v>155</v>
      </c>
    </row>
    <row r="26" spans="1:31" ht="51" x14ac:dyDescent="0.2">
      <c r="A26" s="311"/>
      <c r="B26" s="48" t="s">
        <v>324</v>
      </c>
      <c r="C26" s="148" t="s">
        <v>74</v>
      </c>
      <c r="D26" s="40" t="s">
        <v>36</v>
      </c>
      <c r="E26" s="29" t="s">
        <v>24</v>
      </c>
      <c r="F26" s="176" t="s">
        <v>519</v>
      </c>
      <c r="G26" s="209" t="s">
        <v>520</v>
      </c>
      <c r="H26" s="26" t="s">
        <v>394</v>
      </c>
      <c r="I26" s="26" t="s">
        <v>521</v>
      </c>
      <c r="J26" s="26" t="s">
        <v>521</v>
      </c>
      <c r="K26" s="26" t="s">
        <v>60</v>
      </c>
      <c r="L26" s="26" t="s">
        <v>158</v>
      </c>
      <c r="M26" s="26"/>
      <c r="N26" s="46" t="s">
        <v>53</v>
      </c>
      <c r="O26" s="26"/>
      <c r="P26" s="46" t="s">
        <v>7</v>
      </c>
      <c r="Q26" s="26"/>
      <c r="R26" s="26"/>
      <c r="S26" s="26"/>
      <c r="T26" s="208"/>
      <c r="U26" s="181"/>
      <c r="V26" s="29"/>
      <c r="W26" s="177" t="s">
        <v>535</v>
      </c>
      <c r="X26" s="190"/>
      <c r="Y26" s="33"/>
      <c r="Z26" s="33"/>
      <c r="AA26" s="33"/>
      <c r="AB26" s="33"/>
      <c r="AC26" s="43"/>
      <c r="AD26" s="191"/>
      <c r="AE26" s="184" t="s">
        <v>155</v>
      </c>
    </row>
    <row r="27" spans="1:31" ht="77.25" thickBot="1" x14ac:dyDescent="0.25">
      <c r="A27" s="311"/>
      <c r="B27" s="221">
        <v>1000</v>
      </c>
      <c r="C27" s="149" t="s">
        <v>74</v>
      </c>
      <c r="D27" s="107" t="s">
        <v>36</v>
      </c>
      <c r="E27" s="49" t="s">
        <v>24</v>
      </c>
      <c r="F27" s="216" t="s">
        <v>519</v>
      </c>
      <c r="G27" s="222"/>
      <c r="H27" s="35"/>
      <c r="I27" s="287" t="s">
        <v>618</v>
      </c>
      <c r="J27" s="287" t="s">
        <v>618</v>
      </c>
      <c r="K27" s="287" t="s">
        <v>619</v>
      </c>
      <c r="L27" s="26" t="s">
        <v>158</v>
      </c>
      <c r="M27" s="287" t="s">
        <v>620</v>
      </c>
      <c r="N27" s="35" t="s">
        <v>53</v>
      </c>
      <c r="O27" s="35"/>
      <c r="P27" s="35"/>
      <c r="Q27" s="35"/>
      <c r="R27" s="35"/>
      <c r="S27" s="35"/>
      <c r="T27" s="223"/>
      <c r="U27" s="224"/>
      <c r="V27" s="49"/>
      <c r="W27" s="216"/>
      <c r="X27" s="225"/>
      <c r="Y27" s="50"/>
      <c r="Z27" s="50"/>
      <c r="AA27" s="50"/>
      <c r="AB27" s="50"/>
      <c r="AC27" s="51"/>
      <c r="AD27" s="226"/>
      <c r="AE27" s="227" t="s">
        <v>155</v>
      </c>
    </row>
    <row r="28" spans="1:31" ht="38.25" x14ac:dyDescent="0.2">
      <c r="A28" s="310" t="s">
        <v>530</v>
      </c>
      <c r="B28" s="108" t="s">
        <v>573</v>
      </c>
      <c r="C28" s="151" t="s">
        <v>74</v>
      </c>
      <c r="D28" s="65" t="s">
        <v>489</v>
      </c>
      <c r="E28" s="30" t="s">
        <v>490</v>
      </c>
      <c r="F28" s="288"/>
      <c r="G28" s="228"/>
      <c r="H28" s="27"/>
      <c r="I28" s="27" t="s">
        <v>53</v>
      </c>
      <c r="J28" s="27" t="s">
        <v>611</v>
      </c>
      <c r="K28" s="25" t="s">
        <v>612</v>
      </c>
      <c r="L28" s="26" t="s">
        <v>26</v>
      </c>
      <c r="M28" s="27" t="s">
        <v>53</v>
      </c>
      <c r="N28" s="27"/>
      <c r="O28" s="27"/>
      <c r="P28" s="27"/>
      <c r="Q28" s="27"/>
      <c r="R28" s="27"/>
      <c r="S28" s="27"/>
      <c r="T28" s="215"/>
      <c r="U28" s="205"/>
      <c r="V28" s="30"/>
      <c r="W28" s="200"/>
      <c r="X28" s="196"/>
      <c r="Y28" s="32"/>
      <c r="Z28" s="32"/>
      <c r="AA28" s="32"/>
      <c r="AB28" s="32"/>
      <c r="AC28" s="42"/>
      <c r="AD28" s="229"/>
      <c r="AE28" s="230"/>
    </row>
    <row r="29" spans="1:31" ht="38.25" x14ac:dyDescent="0.2">
      <c r="A29" s="311"/>
      <c r="B29" s="109" t="s">
        <v>486</v>
      </c>
      <c r="C29" s="148" t="s">
        <v>74</v>
      </c>
      <c r="D29" s="40" t="s">
        <v>489</v>
      </c>
      <c r="E29" s="29" t="s">
        <v>490</v>
      </c>
      <c r="F29" s="289"/>
      <c r="G29" s="220"/>
      <c r="H29" s="26"/>
      <c r="I29" s="26" t="s">
        <v>53</v>
      </c>
      <c r="J29" s="26" t="s">
        <v>611</v>
      </c>
      <c r="K29" s="46" t="s">
        <v>612</v>
      </c>
      <c r="L29" s="26" t="s">
        <v>26</v>
      </c>
      <c r="M29" s="26" t="s">
        <v>53</v>
      </c>
      <c r="N29" s="26"/>
      <c r="O29" s="26"/>
      <c r="P29" s="26"/>
      <c r="Q29" s="26"/>
      <c r="R29" s="26"/>
      <c r="S29" s="26"/>
      <c r="T29" s="208"/>
      <c r="U29" s="181"/>
      <c r="V29" s="29"/>
      <c r="W29" s="176"/>
      <c r="X29" s="190"/>
      <c r="Y29" s="33"/>
      <c r="Z29" s="33"/>
      <c r="AA29" s="33"/>
      <c r="AB29" s="33"/>
      <c r="AC29" s="43"/>
      <c r="AD29" s="191"/>
      <c r="AE29" s="185"/>
    </row>
    <row r="30" spans="1:31" ht="38.25" x14ac:dyDescent="0.2">
      <c r="A30" s="311"/>
      <c r="B30" s="109" t="s">
        <v>487</v>
      </c>
      <c r="C30" s="148" t="s">
        <v>74</v>
      </c>
      <c r="D30" s="40" t="s">
        <v>489</v>
      </c>
      <c r="E30" s="29" t="s">
        <v>490</v>
      </c>
      <c r="F30" s="289"/>
      <c r="G30" s="220"/>
      <c r="H30" s="26"/>
      <c r="I30" s="26" t="s">
        <v>53</v>
      </c>
      <c r="J30" s="26" t="s">
        <v>611</v>
      </c>
      <c r="K30" s="46" t="s">
        <v>612</v>
      </c>
      <c r="L30" s="26" t="s">
        <v>26</v>
      </c>
      <c r="M30" s="26" t="s">
        <v>53</v>
      </c>
      <c r="N30" s="26"/>
      <c r="O30" s="26"/>
      <c r="P30" s="26"/>
      <c r="Q30" s="26"/>
      <c r="R30" s="26"/>
      <c r="S30" s="26"/>
      <c r="T30" s="208"/>
      <c r="U30" s="181"/>
      <c r="V30" s="29"/>
      <c r="W30" s="176"/>
      <c r="X30" s="190"/>
      <c r="Y30" s="33"/>
      <c r="Z30" s="33"/>
      <c r="AA30" s="33"/>
      <c r="AB30" s="33"/>
      <c r="AC30" s="43"/>
      <c r="AD30" s="191"/>
      <c r="AE30" s="185"/>
    </row>
    <row r="31" spans="1:31" ht="39" thickBot="1" x14ac:dyDescent="0.25">
      <c r="A31" s="312"/>
      <c r="B31" s="110" t="s">
        <v>488</v>
      </c>
      <c r="C31" s="150" t="s">
        <v>74</v>
      </c>
      <c r="D31" s="68" t="s">
        <v>489</v>
      </c>
      <c r="E31" s="31" t="s">
        <v>490</v>
      </c>
      <c r="F31" s="290"/>
      <c r="G31" s="264"/>
      <c r="H31" s="35"/>
      <c r="I31" s="35" t="s">
        <v>53</v>
      </c>
      <c r="J31" s="37" t="s">
        <v>611</v>
      </c>
      <c r="K31" s="287" t="s">
        <v>612</v>
      </c>
      <c r="L31" s="26" t="s">
        <v>26</v>
      </c>
      <c r="M31" s="35" t="s">
        <v>53</v>
      </c>
      <c r="N31" s="35"/>
      <c r="O31" s="35"/>
      <c r="P31" s="35"/>
      <c r="Q31" s="35"/>
      <c r="R31" s="35"/>
      <c r="S31" s="35"/>
      <c r="T31" s="223"/>
      <c r="U31" s="224"/>
      <c r="V31" s="49"/>
      <c r="W31" s="216"/>
      <c r="X31" s="225"/>
      <c r="Y31" s="50"/>
      <c r="Z31" s="50"/>
      <c r="AA31" s="50"/>
      <c r="AB31" s="50"/>
      <c r="AC31" s="51"/>
      <c r="AD31" s="226"/>
      <c r="AE31" s="278"/>
    </row>
    <row r="32" spans="1:31" ht="25.5" x14ac:dyDescent="0.2">
      <c r="A32" s="313" t="s">
        <v>531</v>
      </c>
      <c r="B32" s="285" t="s">
        <v>81</v>
      </c>
      <c r="C32" s="30">
        <v>1978</v>
      </c>
      <c r="D32" s="65" t="s">
        <v>9</v>
      </c>
      <c r="E32" s="30" t="s">
        <v>24</v>
      </c>
      <c r="F32" s="263" t="s">
        <v>492</v>
      </c>
      <c r="G32" s="214" t="s">
        <v>13</v>
      </c>
      <c r="H32" s="25" t="s">
        <v>394</v>
      </c>
      <c r="I32" s="25" t="s">
        <v>7</v>
      </c>
      <c r="J32" s="25" t="s">
        <v>7</v>
      </c>
      <c r="K32" s="27" t="s">
        <v>60</v>
      </c>
      <c r="L32" s="26" t="s">
        <v>26</v>
      </c>
      <c r="M32" s="27" t="s">
        <v>27</v>
      </c>
      <c r="N32" s="27" t="s">
        <v>54</v>
      </c>
      <c r="O32" s="27"/>
      <c r="P32" s="27" t="s">
        <v>41</v>
      </c>
      <c r="Q32" s="27" t="s">
        <v>13</v>
      </c>
      <c r="R32" s="25" t="s">
        <v>83</v>
      </c>
      <c r="S32" s="27" t="s">
        <v>42</v>
      </c>
      <c r="T32" s="265" t="s">
        <v>42</v>
      </c>
      <c r="U32" s="269" t="s">
        <v>105</v>
      </c>
      <c r="V32" s="30" t="s">
        <v>61</v>
      </c>
      <c r="W32" s="263" t="s">
        <v>604</v>
      </c>
      <c r="X32" s="196"/>
      <c r="Y32" s="32"/>
      <c r="Z32" s="32"/>
      <c r="AA32" s="32" t="s">
        <v>439</v>
      </c>
      <c r="AB32" s="32"/>
      <c r="AC32" s="42"/>
      <c r="AD32" s="273">
        <v>20</v>
      </c>
      <c r="AE32" s="279"/>
    </row>
    <row r="33" spans="1:31" ht="25.5" customHeight="1" x14ac:dyDescent="0.2">
      <c r="A33" s="314"/>
      <c r="B33" s="218" t="s">
        <v>302</v>
      </c>
      <c r="C33" s="217" t="s">
        <v>303</v>
      </c>
      <c r="D33" s="40" t="s">
        <v>483</v>
      </c>
      <c r="E33" s="29" t="s">
        <v>24</v>
      </c>
      <c r="F33" s="177" t="s">
        <v>574</v>
      </c>
      <c r="G33" s="209" t="s">
        <v>485</v>
      </c>
      <c r="H33" s="46" t="s">
        <v>394</v>
      </c>
      <c r="I33" s="46" t="s">
        <v>7</v>
      </c>
      <c r="J33" s="46" t="s">
        <v>7</v>
      </c>
      <c r="K33" s="46" t="s">
        <v>60</v>
      </c>
      <c r="L33" s="26" t="s">
        <v>26</v>
      </c>
      <c r="M33" s="26"/>
      <c r="N33" s="46" t="s">
        <v>593</v>
      </c>
      <c r="O33" s="26"/>
      <c r="P33" s="46"/>
      <c r="Q33" s="46" t="s">
        <v>13</v>
      </c>
      <c r="R33" s="46" t="s">
        <v>13</v>
      </c>
      <c r="S33" s="46" t="s">
        <v>42</v>
      </c>
      <c r="T33" s="266" t="s">
        <v>594</v>
      </c>
      <c r="U33" s="270" t="s">
        <v>595</v>
      </c>
      <c r="V33" s="29"/>
      <c r="W33" s="177" t="s">
        <v>596</v>
      </c>
      <c r="X33" s="190"/>
      <c r="Y33" s="33"/>
      <c r="Z33" s="33"/>
      <c r="AA33" s="33"/>
      <c r="AB33" s="33"/>
      <c r="AC33" s="43"/>
      <c r="AD33" s="274"/>
      <c r="AE33" s="280" t="s">
        <v>597</v>
      </c>
    </row>
    <row r="34" spans="1:31" ht="25.5" x14ac:dyDescent="0.2">
      <c r="A34" s="314"/>
      <c r="B34" s="218" t="s">
        <v>570</v>
      </c>
      <c r="C34" s="174" t="s">
        <v>303</v>
      </c>
      <c r="D34" s="40" t="s">
        <v>483</v>
      </c>
      <c r="E34" s="47" t="s">
        <v>24</v>
      </c>
      <c r="F34" s="177" t="s">
        <v>492</v>
      </c>
      <c r="G34" s="209"/>
      <c r="H34" s="26"/>
      <c r="I34" s="26"/>
      <c r="J34" s="26"/>
      <c r="K34" s="26"/>
      <c r="L34" s="26" t="s">
        <v>26</v>
      </c>
      <c r="M34" s="26"/>
      <c r="N34" s="26"/>
      <c r="O34" s="26"/>
      <c r="P34" s="26"/>
      <c r="Q34" s="26"/>
      <c r="R34" s="26"/>
      <c r="S34" s="26"/>
      <c r="T34" s="267"/>
      <c r="U34" s="271"/>
      <c r="V34" s="29"/>
      <c r="W34" s="176"/>
      <c r="X34" s="190"/>
      <c r="Y34" s="33"/>
      <c r="Z34" s="33"/>
      <c r="AA34" s="33"/>
      <c r="AB34" s="33"/>
      <c r="AC34" s="43"/>
      <c r="AD34" s="274"/>
      <c r="AE34" s="281"/>
    </row>
    <row r="35" spans="1:31" ht="25.5" x14ac:dyDescent="0.2">
      <c r="A35" s="314"/>
      <c r="B35" s="284" t="s">
        <v>31</v>
      </c>
      <c r="C35" s="29" t="s">
        <v>202</v>
      </c>
      <c r="D35" s="40" t="s">
        <v>32</v>
      </c>
      <c r="E35" s="29" t="s">
        <v>24</v>
      </c>
      <c r="F35" s="177" t="s">
        <v>493</v>
      </c>
      <c r="G35" s="207" t="s">
        <v>13</v>
      </c>
      <c r="H35" s="46" t="s">
        <v>403</v>
      </c>
      <c r="I35" s="46" t="s">
        <v>7</v>
      </c>
      <c r="J35" s="46" t="s">
        <v>7</v>
      </c>
      <c r="K35" s="26" t="s">
        <v>60</v>
      </c>
      <c r="L35" s="26" t="s">
        <v>571</v>
      </c>
      <c r="M35" s="26"/>
      <c r="N35" s="26" t="s">
        <v>40</v>
      </c>
      <c r="O35" s="26"/>
      <c r="P35" s="26" t="s">
        <v>41</v>
      </c>
      <c r="Q35" s="26" t="s">
        <v>13</v>
      </c>
      <c r="R35" s="26" t="s">
        <v>13</v>
      </c>
      <c r="S35" s="26" t="s">
        <v>42</v>
      </c>
      <c r="T35" s="267" t="s">
        <v>42</v>
      </c>
      <c r="U35" s="271"/>
      <c r="V35" s="29" t="s">
        <v>61</v>
      </c>
      <c r="W35" s="176" t="s">
        <v>49</v>
      </c>
      <c r="X35" s="190" t="s">
        <v>434</v>
      </c>
      <c r="Y35" s="33" t="s">
        <v>448</v>
      </c>
      <c r="Z35" s="33" t="s">
        <v>449</v>
      </c>
      <c r="AA35" s="33" t="s">
        <v>441</v>
      </c>
      <c r="AB35" s="33" t="s">
        <v>450</v>
      </c>
      <c r="AC35" s="43"/>
      <c r="AD35" s="275">
        <v>20</v>
      </c>
      <c r="AE35" s="282"/>
    </row>
    <row r="36" spans="1:31" ht="25.5" x14ac:dyDescent="0.2">
      <c r="A36" s="314"/>
      <c r="B36" s="284" t="s">
        <v>34</v>
      </c>
      <c r="C36" s="29" t="s">
        <v>15</v>
      </c>
      <c r="D36" s="40" t="s">
        <v>32</v>
      </c>
      <c r="E36" s="29" t="s">
        <v>24</v>
      </c>
      <c r="F36" s="177" t="s">
        <v>493</v>
      </c>
      <c r="G36" s="207" t="s">
        <v>13</v>
      </c>
      <c r="H36" s="46" t="s">
        <v>403</v>
      </c>
      <c r="I36" s="46" t="s">
        <v>52</v>
      </c>
      <c r="J36" s="46" t="s">
        <v>52</v>
      </c>
      <c r="K36" s="26" t="s">
        <v>60</v>
      </c>
      <c r="L36" s="26" t="s">
        <v>26</v>
      </c>
      <c r="M36" s="26"/>
      <c r="N36" s="26" t="s">
        <v>40</v>
      </c>
      <c r="O36" s="26"/>
      <c r="P36" s="26" t="s">
        <v>41</v>
      </c>
      <c r="Q36" s="26" t="s">
        <v>13</v>
      </c>
      <c r="R36" s="46" t="s">
        <v>472</v>
      </c>
      <c r="S36" s="26" t="s">
        <v>42</v>
      </c>
      <c r="T36" s="267" t="s">
        <v>42</v>
      </c>
      <c r="U36" s="271" t="s">
        <v>105</v>
      </c>
      <c r="V36" s="29" t="s">
        <v>61</v>
      </c>
      <c r="W36" s="177" t="s">
        <v>98</v>
      </c>
      <c r="X36" s="190" t="s">
        <v>434</v>
      </c>
      <c r="Y36" s="33" t="s">
        <v>448</v>
      </c>
      <c r="Z36" s="33" t="s">
        <v>449</v>
      </c>
      <c r="AA36" s="33" t="s">
        <v>441</v>
      </c>
      <c r="AB36" s="33" t="s">
        <v>450</v>
      </c>
      <c r="AC36" s="43"/>
      <c r="AD36" s="275">
        <v>20</v>
      </c>
      <c r="AE36" s="282"/>
    </row>
    <row r="37" spans="1:31" ht="26.25" customHeight="1" x14ac:dyDescent="0.2">
      <c r="A37" s="314"/>
      <c r="B37" s="284" t="s">
        <v>33</v>
      </c>
      <c r="C37" s="29" t="s">
        <v>12</v>
      </c>
      <c r="D37" s="40" t="s">
        <v>32</v>
      </c>
      <c r="E37" s="29" t="s">
        <v>24</v>
      </c>
      <c r="F37" s="177" t="s">
        <v>493</v>
      </c>
      <c r="G37" s="207" t="s">
        <v>13</v>
      </c>
      <c r="H37" s="46" t="s">
        <v>403</v>
      </c>
      <c r="I37" s="46" t="s">
        <v>51</v>
      </c>
      <c r="J37" s="46" t="s">
        <v>51</v>
      </c>
      <c r="K37" s="26" t="s">
        <v>60</v>
      </c>
      <c r="L37" s="26" t="s">
        <v>26</v>
      </c>
      <c r="M37" s="26"/>
      <c r="N37" s="26" t="s">
        <v>40</v>
      </c>
      <c r="O37" s="26"/>
      <c r="P37" s="26" t="s">
        <v>41</v>
      </c>
      <c r="Q37" s="26" t="s">
        <v>8</v>
      </c>
      <c r="R37" s="46" t="s">
        <v>473</v>
      </c>
      <c r="S37" s="26" t="s">
        <v>42</v>
      </c>
      <c r="T37" s="267" t="s">
        <v>42</v>
      </c>
      <c r="U37" s="271" t="s">
        <v>497</v>
      </c>
      <c r="V37" s="29" t="s">
        <v>61</v>
      </c>
      <c r="W37" s="177" t="s">
        <v>97</v>
      </c>
      <c r="X37" s="190" t="s">
        <v>434</v>
      </c>
      <c r="Y37" s="33" t="s">
        <v>448</v>
      </c>
      <c r="Z37" s="33" t="s">
        <v>449</v>
      </c>
      <c r="AA37" s="33" t="s">
        <v>441</v>
      </c>
      <c r="AB37" s="33" t="s">
        <v>450</v>
      </c>
      <c r="AC37" s="43"/>
      <c r="AD37" s="275">
        <v>20</v>
      </c>
      <c r="AE37" s="282"/>
    </row>
    <row r="38" spans="1:31" ht="26.25" customHeight="1" x14ac:dyDescent="0.2">
      <c r="A38" s="314"/>
      <c r="B38" s="219" t="s">
        <v>110</v>
      </c>
      <c r="C38" s="29">
        <v>1971</v>
      </c>
      <c r="D38" s="40" t="s">
        <v>9</v>
      </c>
      <c r="E38" s="29" t="s">
        <v>24</v>
      </c>
      <c r="F38" s="177" t="s">
        <v>493</v>
      </c>
      <c r="G38" s="207" t="s">
        <v>13</v>
      </c>
      <c r="H38" s="46" t="s">
        <v>240</v>
      </c>
      <c r="I38" s="46" t="s">
        <v>7</v>
      </c>
      <c r="J38" s="46" t="s">
        <v>7</v>
      </c>
      <c r="K38" s="26" t="s">
        <v>60</v>
      </c>
      <c r="L38" s="26" t="s">
        <v>26</v>
      </c>
      <c r="M38" s="26"/>
      <c r="N38" s="26"/>
      <c r="O38" s="26"/>
      <c r="P38" s="26"/>
      <c r="Q38" s="26" t="s">
        <v>13</v>
      </c>
      <c r="R38" s="46" t="s">
        <v>13</v>
      </c>
      <c r="S38" s="26" t="s">
        <v>42</v>
      </c>
      <c r="T38" s="267" t="s">
        <v>42</v>
      </c>
      <c r="U38" s="271"/>
      <c r="V38" s="29"/>
      <c r="W38" s="177" t="s">
        <v>509</v>
      </c>
      <c r="X38" s="190" t="s">
        <v>434</v>
      </c>
      <c r="Y38" s="33"/>
      <c r="Z38" s="33" t="s">
        <v>457</v>
      </c>
      <c r="AA38" s="33" t="s">
        <v>461</v>
      </c>
      <c r="AB38" s="33"/>
      <c r="AC38" s="43"/>
      <c r="AD38" s="275">
        <v>21</v>
      </c>
      <c r="AE38" s="282"/>
    </row>
    <row r="39" spans="1:31" ht="25.5" x14ac:dyDescent="0.2">
      <c r="A39" s="314"/>
      <c r="B39" s="284" t="s">
        <v>82</v>
      </c>
      <c r="C39" s="29">
        <v>1978</v>
      </c>
      <c r="D39" s="40" t="s">
        <v>9</v>
      </c>
      <c r="E39" s="29" t="s">
        <v>24</v>
      </c>
      <c r="F39" s="177" t="s">
        <v>493</v>
      </c>
      <c r="G39" s="207"/>
      <c r="H39" s="46" t="s">
        <v>403</v>
      </c>
      <c r="I39" s="46" t="s">
        <v>7</v>
      </c>
      <c r="J39" s="46" t="s">
        <v>7</v>
      </c>
      <c r="K39" s="26" t="s">
        <v>60</v>
      </c>
      <c r="L39" s="26" t="s">
        <v>26</v>
      </c>
      <c r="M39" s="26" t="s">
        <v>99</v>
      </c>
      <c r="N39" s="26"/>
      <c r="O39" s="26"/>
      <c r="P39" s="26" t="s">
        <v>41</v>
      </c>
      <c r="Q39" s="26" t="s">
        <v>13</v>
      </c>
      <c r="R39" s="46" t="s">
        <v>83</v>
      </c>
      <c r="S39" s="26" t="s">
        <v>42</v>
      </c>
      <c r="T39" s="267" t="s">
        <v>42</v>
      </c>
      <c r="U39" s="271"/>
      <c r="V39" s="29" t="s">
        <v>61</v>
      </c>
      <c r="W39" s="177" t="s">
        <v>98</v>
      </c>
      <c r="X39" s="190"/>
      <c r="Y39" s="33"/>
      <c r="Z39" s="33"/>
      <c r="AA39" s="33" t="s">
        <v>439</v>
      </c>
      <c r="AB39" s="33"/>
      <c r="AC39" s="43"/>
      <c r="AD39" s="275">
        <v>20</v>
      </c>
      <c r="AE39" s="282"/>
    </row>
    <row r="40" spans="1:31" ht="25.5" x14ac:dyDescent="0.2">
      <c r="A40" s="314"/>
      <c r="B40" s="284" t="s">
        <v>14</v>
      </c>
      <c r="C40" s="29" t="s">
        <v>15</v>
      </c>
      <c r="D40" s="40" t="s">
        <v>605</v>
      </c>
      <c r="E40" s="29" t="s">
        <v>24</v>
      </c>
      <c r="F40" s="176" t="s">
        <v>493</v>
      </c>
      <c r="G40" s="207" t="s">
        <v>13</v>
      </c>
      <c r="H40" s="26" t="s">
        <v>403</v>
      </c>
      <c r="I40" s="46" t="s">
        <v>52</v>
      </c>
      <c r="J40" s="46" t="s">
        <v>52</v>
      </c>
      <c r="K40" s="26" t="s">
        <v>60</v>
      </c>
      <c r="L40" s="26" t="s">
        <v>26</v>
      </c>
      <c r="M40" s="26" t="s">
        <v>27</v>
      </c>
      <c r="N40" s="26" t="s">
        <v>40</v>
      </c>
      <c r="O40" s="26"/>
      <c r="P40" s="26" t="s">
        <v>41</v>
      </c>
      <c r="Q40" s="26" t="s">
        <v>13</v>
      </c>
      <c r="R40" s="46" t="s">
        <v>472</v>
      </c>
      <c r="S40" s="26" t="s">
        <v>42</v>
      </c>
      <c r="T40" s="267" t="s">
        <v>42</v>
      </c>
      <c r="U40" s="271" t="s">
        <v>16</v>
      </c>
      <c r="V40" s="29" t="s">
        <v>61</v>
      </c>
      <c r="W40" s="177" t="s">
        <v>98</v>
      </c>
      <c r="X40" s="190" t="s">
        <v>433</v>
      </c>
      <c r="Y40" s="33" t="s">
        <v>438</v>
      </c>
      <c r="Z40" s="33" t="s">
        <v>445</v>
      </c>
      <c r="AA40" s="33" t="s">
        <v>442</v>
      </c>
      <c r="AB40" s="33" t="s">
        <v>451</v>
      </c>
      <c r="AC40" s="43"/>
      <c r="AD40" s="275">
        <v>20</v>
      </c>
      <c r="AE40" s="282"/>
    </row>
    <row r="41" spans="1:31" ht="38.25" x14ac:dyDescent="0.2">
      <c r="A41" s="314"/>
      <c r="B41" s="284" t="s">
        <v>88</v>
      </c>
      <c r="C41" s="29">
        <v>1978</v>
      </c>
      <c r="D41" s="40" t="s">
        <v>605</v>
      </c>
      <c r="E41" s="29" t="s">
        <v>24</v>
      </c>
      <c r="F41" s="176" t="s">
        <v>493</v>
      </c>
      <c r="G41" s="207" t="s">
        <v>13</v>
      </c>
      <c r="H41" s="46" t="s">
        <v>408</v>
      </c>
      <c r="I41" s="46" t="s">
        <v>52</v>
      </c>
      <c r="J41" s="46" t="s">
        <v>52</v>
      </c>
      <c r="K41" s="26" t="s">
        <v>60</v>
      </c>
      <c r="L41" s="26" t="s">
        <v>26</v>
      </c>
      <c r="M41" s="26" t="s">
        <v>27</v>
      </c>
      <c r="N41" s="26" t="s">
        <v>40</v>
      </c>
      <c r="O41" s="26"/>
      <c r="P41" s="26" t="s">
        <v>41</v>
      </c>
      <c r="Q41" s="26" t="s">
        <v>13</v>
      </c>
      <c r="R41" s="46" t="s">
        <v>472</v>
      </c>
      <c r="S41" s="26" t="s">
        <v>42</v>
      </c>
      <c r="T41" s="267" t="s">
        <v>42</v>
      </c>
      <c r="U41" s="271" t="s">
        <v>16</v>
      </c>
      <c r="V41" s="29" t="s">
        <v>61</v>
      </c>
      <c r="W41" s="176" t="s">
        <v>97</v>
      </c>
      <c r="X41" s="190" t="s">
        <v>433</v>
      </c>
      <c r="Y41" s="33" t="s">
        <v>438</v>
      </c>
      <c r="Z41" s="33" t="s">
        <v>445</v>
      </c>
      <c r="AA41" s="33" t="s">
        <v>442</v>
      </c>
      <c r="AB41" s="33" t="s">
        <v>451</v>
      </c>
      <c r="AC41" s="43"/>
      <c r="AD41" s="275">
        <v>20</v>
      </c>
      <c r="AE41" s="282"/>
    </row>
    <row r="42" spans="1:31" ht="38.25" x14ac:dyDescent="0.2">
      <c r="A42" s="314"/>
      <c r="B42" s="219" t="s">
        <v>80</v>
      </c>
      <c r="C42" s="261">
        <v>1971</v>
      </c>
      <c r="D42" s="40" t="s">
        <v>9</v>
      </c>
      <c r="E42" s="29" t="s">
        <v>24</v>
      </c>
      <c r="F42" s="177" t="s">
        <v>493</v>
      </c>
      <c r="G42" s="207" t="s">
        <v>13</v>
      </c>
      <c r="H42" s="46" t="s">
        <v>403</v>
      </c>
      <c r="I42" s="46" t="s">
        <v>106</v>
      </c>
      <c r="J42" s="46" t="s">
        <v>469</v>
      </c>
      <c r="K42" s="46" t="s">
        <v>60</v>
      </c>
      <c r="L42" s="26" t="s">
        <v>180</v>
      </c>
      <c r="M42" s="26" t="s">
        <v>179</v>
      </c>
      <c r="N42" s="26" t="s">
        <v>55</v>
      </c>
      <c r="O42" s="26"/>
      <c r="P42" s="26" t="s">
        <v>7</v>
      </c>
      <c r="Q42" s="26" t="s">
        <v>13</v>
      </c>
      <c r="R42" s="26" t="s">
        <v>13</v>
      </c>
      <c r="S42" s="26"/>
      <c r="T42" s="267"/>
      <c r="U42" s="271" t="s">
        <v>10</v>
      </c>
      <c r="V42" s="29"/>
      <c r="W42" s="176" t="s">
        <v>98</v>
      </c>
      <c r="X42" s="197" t="s">
        <v>470</v>
      </c>
      <c r="Y42" s="33" t="s">
        <v>438</v>
      </c>
      <c r="Z42" s="73">
        <v>42471</v>
      </c>
      <c r="AA42" s="33" t="s">
        <v>442</v>
      </c>
      <c r="AB42" s="33"/>
      <c r="AC42" s="43"/>
      <c r="AD42" s="276">
        <v>21</v>
      </c>
      <c r="AE42" s="282"/>
    </row>
    <row r="43" spans="1:31" ht="25.5" x14ac:dyDescent="0.2">
      <c r="A43" s="314"/>
      <c r="B43" s="284" t="s">
        <v>21</v>
      </c>
      <c r="C43" s="1" t="s">
        <v>15</v>
      </c>
      <c r="D43" s="40" t="s">
        <v>605</v>
      </c>
      <c r="E43" s="29" t="s">
        <v>24</v>
      </c>
      <c r="F43" s="177" t="s">
        <v>493</v>
      </c>
      <c r="G43" s="207" t="s">
        <v>13</v>
      </c>
      <c r="H43" s="46" t="s">
        <v>403</v>
      </c>
      <c r="I43" s="46" t="s">
        <v>51</v>
      </c>
      <c r="J43" s="46" t="s">
        <v>51</v>
      </c>
      <c r="K43" s="26" t="s">
        <v>60</v>
      </c>
      <c r="L43" s="26" t="s">
        <v>26</v>
      </c>
      <c r="M43" s="26"/>
      <c r="N43" s="26" t="s">
        <v>54</v>
      </c>
      <c r="O43" s="26"/>
      <c r="P43" s="26" t="s">
        <v>41</v>
      </c>
      <c r="Q43" s="26" t="s">
        <v>8</v>
      </c>
      <c r="R43" s="26" t="s">
        <v>8</v>
      </c>
      <c r="S43" s="26" t="s">
        <v>42</v>
      </c>
      <c r="T43" s="267" t="s">
        <v>42</v>
      </c>
      <c r="U43" s="271"/>
      <c r="V43" s="29" t="s">
        <v>61</v>
      </c>
      <c r="W43" s="176" t="s">
        <v>97</v>
      </c>
      <c r="X43" s="190" t="s">
        <v>433</v>
      </c>
      <c r="Y43" s="33" t="s">
        <v>438</v>
      </c>
      <c r="Z43" s="33" t="s">
        <v>445</v>
      </c>
      <c r="AA43" s="33" t="s">
        <v>442</v>
      </c>
      <c r="AB43" s="33" t="s">
        <v>451</v>
      </c>
      <c r="AC43" s="43"/>
      <c r="AD43" s="275">
        <v>20</v>
      </c>
      <c r="AE43" s="282"/>
    </row>
    <row r="44" spans="1:31" ht="38.25" x14ac:dyDescent="0.2">
      <c r="A44" s="314"/>
      <c r="B44" s="284" t="s">
        <v>43</v>
      </c>
      <c r="C44" s="29">
        <v>1976</v>
      </c>
      <c r="D44" s="40" t="s">
        <v>608</v>
      </c>
      <c r="E44" s="29" t="s">
        <v>24</v>
      </c>
      <c r="F44" s="177" t="s">
        <v>493</v>
      </c>
      <c r="G44" s="207" t="s">
        <v>13</v>
      </c>
      <c r="H44" s="46" t="s">
        <v>403</v>
      </c>
      <c r="I44" s="46" t="s">
        <v>51</v>
      </c>
      <c r="J44" s="46" t="s">
        <v>429</v>
      </c>
      <c r="K44" s="26" t="s">
        <v>60</v>
      </c>
      <c r="L44" s="26" t="s">
        <v>26</v>
      </c>
      <c r="M44" s="26"/>
      <c r="N44" s="26" t="s">
        <v>54</v>
      </c>
      <c r="O44" s="26"/>
      <c r="P44" s="26" t="s">
        <v>41</v>
      </c>
      <c r="Q44" s="26" t="s">
        <v>8</v>
      </c>
      <c r="R44" s="26" t="s">
        <v>8</v>
      </c>
      <c r="S44" s="26" t="s">
        <v>42</v>
      </c>
      <c r="T44" s="267" t="s">
        <v>42</v>
      </c>
      <c r="U44" s="271"/>
      <c r="V44" s="29" t="s">
        <v>61</v>
      </c>
      <c r="W44" s="176" t="s">
        <v>97</v>
      </c>
      <c r="X44" s="190" t="s">
        <v>433</v>
      </c>
      <c r="Y44" s="33" t="s">
        <v>438</v>
      </c>
      <c r="Z44" s="33" t="s">
        <v>445</v>
      </c>
      <c r="AA44" s="33" t="s">
        <v>442</v>
      </c>
      <c r="AB44" s="33" t="s">
        <v>451</v>
      </c>
      <c r="AC44" s="43"/>
      <c r="AD44" s="275">
        <v>20</v>
      </c>
      <c r="AE44" s="282"/>
    </row>
    <row r="45" spans="1:31" ht="25.5" x14ac:dyDescent="0.2">
      <c r="A45" s="314"/>
      <c r="B45" s="219" t="s">
        <v>356</v>
      </c>
      <c r="C45" s="29">
        <v>1978</v>
      </c>
      <c r="D45" s="40" t="s">
        <v>9</v>
      </c>
      <c r="E45" s="29" t="s">
        <v>24</v>
      </c>
      <c r="F45" s="176" t="s">
        <v>493</v>
      </c>
      <c r="G45" s="207"/>
      <c r="H45" s="46"/>
      <c r="I45" s="46"/>
      <c r="J45" s="46"/>
      <c r="K45" s="26"/>
      <c r="L45" s="26" t="s">
        <v>26</v>
      </c>
      <c r="M45" s="26"/>
      <c r="N45" s="26"/>
      <c r="O45" s="26"/>
      <c r="P45" s="26"/>
      <c r="Q45" s="26"/>
      <c r="R45" s="26"/>
      <c r="S45" s="26"/>
      <c r="T45" s="267"/>
      <c r="U45" s="271"/>
      <c r="V45" s="29"/>
      <c r="W45" s="176"/>
      <c r="X45" s="190"/>
      <c r="Y45" s="33"/>
      <c r="Z45" s="33"/>
      <c r="AA45" s="33"/>
      <c r="AB45" s="33"/>
      <c r="AC45" s="43"/>
      <c r="AD45" s="275"/>
      <c r="AE45" s="282"/>
    </row>
    <row r="46" spans="1:31" ht="38.25" x14ac:dyDescent="0.2">
      <c r="A46" s="314"/>
      <c r="B46" s="219" t="s">
        <v>111</v>
      </c>
      <c r="C46" s="62" t="s">
        <v>242</v>
      </c>
      <c r="D46" s="40" t="s">
        <v>9</v>
      </c>
      <c r="E46" s="29" t="s">
        <v>24</v>
      </c>
      <c r="F46" s="177" t="s">
        <v>493</v>
      </c>
      <c r="G46" s="209"/>
      <c r="H46" s="26" t="s">
        <v>240</v>
      </c>
      <c r="I46" s="46" t="s">
        <v>417</v>
      </c>
      <c r="J46" s="46" t="s">
        <v>418</v>
      </c>
      <c r="K46" s="26" t="s">
        <v>60</v>
      </c>
      <c r="L46" s="26" t="s">
        <v>26</v>
      </c>
      <c r="M46" s="26" t="s">
        <v>163</v>
      </c>
      <c r="N46" s="26" t="s">
        <v>55</v>
      </c>
      <c r="O46" s="26"/>
      <c r="P46" s="26"/>
      <c r="Q46" s="26" t="s">
        <v>13</v>
      </c>
      <c r="R46" s="26" t="s">
        <v>13</v>
      </c>
      <c r="S46" s="26" t="s">
        <v>42</v>
      </c>
      <c r="T46" s="267" t="s">
        <v>42</v>
      </c>
      <c r="U46" s="271"/>
      <c r="V46" s="29" t="s">
        <v>61</v>
      </c>
      <c r="W46" s="176"/>
      <c r="X46" s="190" t="s">
        <v>462</v>
      </c>
      <c r="Y46" s="33"/>
      <c r="Z46" s="33" t="s">
        <v>436</v>
      </c>
      <c r="AA46" s="33" t="s">
        <v>463</v>
      </c>
      <c r="AB46" s="33"/>
      <c r="AC46" s="63"/>
      <c r="AD46" s="276">
        <v>21</v>
      </c>
      <c r="AE46" s="282"/>
    </row>
    <row r="47" spans="1:31" ht="38.25" x14ac:dyDescent="0.2">
      <c r="A47" s="314"/>
      <c r="B47" s="284" t="s">
        <v>11</v>
      </c>
      <c r="C47" s="29" t="s">
        <v>12</v>
      </c>
      <c r="D47" s="40" t="s">
        <v>606</v>
      </c>
      <c r="E47" s="29" t="s">
        <v>24</v>
      </c>
      <c r="F47" s="177" t="s">
        <v>533</v>
      </c>
      <c r="G47" s="207" t="s">
        <v>13</v>
      </c>
      <c r="H47" s="46" t="s">
        <v>409</v>
      </c>
      <c r="I47" s="46" t="s">
        <v>13</v>
      </c>
      <c r="J47" s="46" t="s">
        <v>416</v>
      </c>
      <c r="K47" s="26" t="s">
        <v>60</v>
      </c>
      <c r="L47" s="26" t="s">
        <v>26</v>
      </c>
      <c r="M47" s="26" t="s">
        <v>20</v>
      </c>
      <c r="N47" s="26" t="s">
        <v>40</v>
      </c>
      <c r="O47" s="26" t="s">
        <v>503</v>
      </c>
      <c r="P47" s="26" t="s">
        <v>41</v>
      </c>
      <c r="Q47" s="26" t="s">
        <v>8</v>
      </c>
      <c r="R47" s="26" t="s">
        <v>8</v>
      </c>
      <c r="S47" s="26" t="s">
        <v>42</v>
      </c>
      <c r="T47" s="267" t="s">
        <v>42</v>
      </c>
      <c r="U47" s="271" t="s">
        <v>206</v>
      </c>
      <c r="V47" s="29" t="s">
        <v>61</v>
      </c>
      <c r="W47" s="176" t="s">
        <v>93</v>
      </c>
      <c r="X47" s="190" t="s">
        <v>433</v>
      </c>
      <c r="Y47" s="33" t="s">
        <v>438</v>
      </c>
      <c r="Z47" s="33" t="s">
        <v>445</v>
      </c>
      <c r="AA47" s="33" t="s">
        <v>442</v>
      </c>
      <c r="AB47" s="33" t="s">
        <v>451</v>
      </c>
      <c r="AC47" s="43"/>
      <c r="AD47" s="275">
        <v>20</v>
      </c>
      <c r="AE47" s="282"/>
    </row>
    <row r="48" spans="1:31" ht="51" x14ac:dyDescent="0.2">
      <c r="A48" s="314"/>
      <c r="B48" s="284" t="s">
        <v>196</v>
      </c>
      <c r="C48" s="29">
        <v>1978</v>
      </c>
      <c r="D48" s="40" t="s">
        <v>607</v>
      </c>
      <c r="E48" s="29" t="s">
        <v>24</v>
      </c>
      <c r="F48" s="176" t="s">
        <v>493</v>
      </c>
      <c r="G48" s="207" t="s">
        <v>13</v>
      </c>
      <c r="H48" s="46" t="s">
        <v>409</v>
      </c>
      <c r="I48" s="46" t="s">
        <v>13</v>
      </c>
      <c r="J48" s="46" t="s">
        <v>416</v>
      </c>
      <c r="K48" s="26" t="s">
        <v>60</v>
      </c>
      <c r="L48" s="26" t="s">
        <v>344</v>
      </c>
      <c r="M48" s="26"/>
      <c r="N48" s="26" t="s">
        <v>40</v>
      </c>
      <c r="O48" s="26"/>
      <c r="P48" s="26" t="s">
        <v>41</v>
      </c>
      <c r="Q48" s="26" t="s">
        <v>205</v>
      </c>
      <c r="R48" s="26" t="s">
        <v>205</v>
      </c>
      <c r="S48" s="26" t="s">
        <v>42</v>
      </c>
      <c r="T48" s="267" t="s">
        <v>42</v>
      </c>
      <c r="U48" s="271" t="s">
        <v>206</v>
      </c>
      <c r="V48" s="29" t="s">
        <v>61</v>
      </c>
      <c r="W48" s="176" t="s">
        <v>204</v>
      </c>
      <c r="X48" s="190" t="s">
        <v>433</v>
      </c>
      <c r="Y48" s="33" t="s">
        <v>438</v>
      </c>
      <c r="Z48" s="33" t="s">
        <v>445</v>
      </c>
      <c r="AA48" s="33" t="s">
        <v>442</v>
      </c>
      <c r="AB48" s="33" t="s">
        <v>451</v>
      </c>
      <c r="AC48" s="43"/>
      <c r="AD48" s="275">
        <v>20</v>
      </c>
      <c r="AE48" s="282"/>
    </row>
    <row r="49" spans="1:31" ht="51" x14ac:dyDescent="0.2">
      <c r="A49" s="314"/>
      <c r="B49" s="284" t="s">
        <v>67</v>
      </c>
      <c r="C49" s="29">
        <v>1978</v>
      </c>
      <c r="D49" s="40" t="s">
        <v>9</v>
      </c>
      <c r="E49" s="29" t="s">
        <v>24</v>
      </c>
      <c r="F49" s="176" t="s">
        <v>493</v>
      </c>
      <c r="G49" s="207" t="s">
        <v>13</v>
      </c>
      <c r="H49" s="46" t="s">
        <v>410</v>
      </c>
      <c r="I49" s="46" t="s">
        <v>13</v>
      </c>
      <c r="J49" s="46" t="s">
        <v>416</v>
      </c>
      <c r="K49" s="26" t="s">
        <v>60</v>
      </c>
      <c r="L49" s="26" t="s">
        <v>572</v>
      </c>
      <c r="M49" s="26" t="s">
        <v>78</v>
      </c>
      <c r="N49" s="26" t="s">
        <v>54</v>
      </c>
      <c r="O49" s="26" t="s">
        <v>79</v>
      </c>
      <c r="P49" s="26" t="s">
        <v>7</v>
      </c>
      <c r="Q49" s="26" t="s">
        <v>208</v>
      </c>
      <c r="R49" s="26" t="s">
        <v>77</v>
      </c>
      <c r="S49" s="26" t="s">
        <v>42</v>
      </c>
      <c r="T49" s="267" t="s">
        <v>42</v>
      </c>
      <c r="U49" s="270" t="s">
        <v>345</v>
      </c>
      <c r="V49" s="29" t="s">
        <v>61</v>
      </c>
      <c r="W49" s="176" t="s">
        <v>98</v>
      </c>
      <c r="X49" s="190"/>
      <c r="Y49" s="33"/>
      <c r="Z49" s="33"/>
      <c r="AA49" s="59" t="s">
        <v>439</v>
      </c>
      <c r="AB49" s="33"/>
      <c r="AC49" s="43"/>
      <c r="AD49" s="275">
        <v>20</v>
      </c>
      <c r="AE49" s="282" t="s">
        <v>100</v>
      </c>
    </row>
    <row r="50" spans="1:31" ht="38.25" x14ac:dyDescent="0.2">
      <c r="A50" s="314"/>
      <c r="B50" s="284" t="s">
        <v>5</v>
      </c>
      <c r="C50" s="29">
        <v>1976</v>
      </c>
      <c r="D50" s="40" t="s">
        <v>605</v>
      </c>
      <c r="E50" s="29" t="s">
        <v>24</v>
      </c>
      <c r="F50" s="177" t="s">
        <v>493</v>
      </c>
      <c r="G50" s="207" t="s">
        <v>13</v>
      </c>
      <c r="H50" s="46" t="s">
        <v>6</v>
      </c>
      <c r="I50" s="46" t="s">
        <v>417</v>
      </c>
      <c r="J50" s="46" t="s">
        <v>418</v>
      </c>
      <c r="K50" s="26" t="s">
        <v>60</v>
      </c>
      <c r="L50" s="26" t="s">
        <v>575</v>
      </c>
      <c r="M50" s="26" t="s">
        <v>20</v>
      </c>
      <c r="N50" s="26" t="s">
        <v>55</v>
      </c>
      <c r="O50" s="26"/>
      <c r="P50" s="26" t="s">
        <v>41</v>
      </c>
      <c r="Q50" s="26" t="s">
        <v>8</v>
      </c>
      <c r="R50" s="26" t="s">
        <v>8</v>
      </c>
      <c r="S50" s="26" t="s">
        <v>42</v>
      </c>
      <c r="T50" s="267" t="s">
        <v>42</v>
      </c>
      <c r="U50" s="271" t="s">
        <v>10</v>
      </c>
      <c r="V50" s="29" t="s">
        <v>61</v>
      </c>
      <c r="W50" s="176" t="s">
        <v>50</v>
      </c>
      <c r="X50" s="190" t="s">
        <v>433</v>
      </c>
      <c r="Y50" s="33" t="s">
        <v>438</v>
      </c>
      <c r="Z50" s="33" t="s">
        <v>445</v>
      </c>
      <c r="AA50" s="33" t="s">
        <v>442</v>
      </c>
      <c r="AB50" s="33" t="s">
        <v>451</v>
      </c>
      <c r="AC50" s="43"/>
      <c r="AD50" s="275">
        <v>20</v>
      </c>
      <c r="AE50" s="282"/>
    </row>
    <row r="51" spans="1:31" ht="38.25" x14ac:dyDescent="0.2">
      <c r="A51" s="314"/>
      <c r="B51" s="284" t="s">
        <v>18</v>
      </c>
      <c r="C51" s="29">
        <v>1976</v>
      </c>
      <c r="D51" s="40" t="s">
        <v>605</v>
      </c>
      <c r="E51" s="29" t="s">
        <v>24</v>
      </c>
      <c r="F51" s="177" t="s">
        <v>493</v>
      </c>
      <c r="G51" s="207"/>
      <c r="H51" s="46" t="s">
        <v>411</v>
      </c>
      <c r="I51" s="46" t="s">
        <v>417</v>
      </c>
      <c r="J51" s="46" t="s">
        <v>428</v>
      </c>
      <c r="K51" s="26" t="s">
        <v>60</v>
      </c>
      <c r="L51" s="26" t="s">
        <v>19</v>
      </c>
      <c r="M51" s="26" t="s">
        <v>20</v>
      </c>
      <c r="N51" s="26" t="s">
        <v>55</v>
      </c>
      <c r="O51" s="26" t="s">
        <v>19</v>
      </c>
      <c r="P51" s="26" t="s">
        <v>41</v>
      </c>
      <c r="Q51" s="26" t="s">
        <v>8</v>
      </c>
      <c r="R51" s="26" t="s">
        <v>8</v>
      </c>
      <c r="S51" s="26" t="s">
        <v>42</v>
      </c>
      <c r="T51" s="267" t="s">
        <v>42</v>
      </c>
      <c r="U51" s="271"/>
      <c r="V51" s="29" t="s">
        <v>61</v>
      </c>
      <c r="W51" s="176" t="s">
        <v>50</v>
      </c>
      <c r="X51" s="190" t="s">
        <v>433</v>
      </c>
      <c r="Y51" s="33" t="s">
        <v>438</v>
      </c>
      <c r="Z51" s="33" t="s">
        <v>445</v>
      </c>
      <c r="AA51" s="33" t="s">
        <v>442</v>
      </c>
      <c r="AB51" s="33" t="s">
        <v>451</v>
      </c>
      <c r="AC51" s="43"/>
      <c r="AD51" s="275">
        <v>20</v>
      </c>
      <c r="AE51" s="282"/>
    </row>
    <row r="52" spans="1:31" ht="25.5" x14ac:dyDescent="0.2">
      <c r="A52" s="314"/>
      <c r="B52" s="219" t="s">
        <v>518</v>
      </c>
      <c r="C52" s="29">
        <v>1978</v>
      </c>
      <c r="D52" s="40" t="s">
        <v>9</v>
      </c>
      <c r="E52" s="29" t="s">
        <v>24</v>
      </c>
      <c r="F52" s="177" t="s">
        <v>493</v>
      </c>
      <c r="G52" s="207"/>
      <c r="H52" s="46"/>
      <c r="I52" s="46"/>
      <c r="J52" s="46"/>
      <c r="K52" s="26"/>
      <c r="L52" s="26"/>
      <c r="M52" s="26"/>
      <c r="N52" s="26"/>
      <c r="O52" s="26"/>
      <c r="P52" s="26"/>
      <c r="Q52" s="26"/>
      <c r="R52" s="26"/>
      <c r="S52" s="26"/>
      <c r="T52" s="267"/>
      <c r="U52" s="271"/>
      <c r="V52" s="29"/>
      <c r="W52" s="176"/>
      <c r="X52" s="190"/>
      <c r="Y52" s="33"/>
      <c r="Z52" s="33"/>
      <c r="AA52" s="33"/>
      <c r="AB52" s="33"/>
      <c r="AC52" s="43"/>
      <c r="AD52" s="275"/>
      <c r="AE52" s="282"/>
    </row>
    <row r="53" spans="1:31" ht="38.25" x14ac:dyDescent="0.2">
      <c r="A53" s="314"/>
      <c r="B53" s="284" t="s">
        <v>84</v>
      </c>
      <c r="C53" s="29">
        <v>1978</v>
      </c>
      <c r="D53" s="40" t="s">
        <v>9</v>
      </c>
      <c r="E53" s="29" t="s">
        <v>24</v>
      </c>
      <c r="F53" s="177" t="s">
        <v>493</v>
      </c>
      <c r="G53" s="207"/>
      <c r="H53" s="46" t="s">
        <v>6</v>
      </c>
      <c r="I53" s="46" t="s">
        <v>13</v>
      </c>
      <c r="J53" s="46" t="s">
        <v>423</v>
      </c>
      <c r="K53" s="26" t="s">
        <v>60</v>
      </c>
      <c r="L53" s="26" t="s">
        <v>78</v>
      </c>
      <c r="M53" s="26" t="s">
        <v>78</v>
      </c>
      <c r="N53" s="26" t="s">
        <v>87</v>
      </c>
      <c r="O53" s="26" t="s">
        <v>86</v>
      </c>
      <c r="P53" s="26" t="s">
        <v>209</v>
      </c>
      <c r="Q53" s="26" t="s">
        <v>208</v>
      </c>
      <c r="R53" s="26" t="s">
        <v>77</v>
      </c>
      <c r="S53" s="26" t="s">
        <v>42</v>
      </c>
      <c r="T53" s="267" t="s">
        <v>42</v>
      </c>
      <c r="U53" s="271" t="s">
        <v>85</v>
      </c>
      <c r="V53" s="29" t="s">
        <v>61</v>
      </c>
      <c r="W53" s="176" t="s">
        <v>204</v>
      </c>
      <c r="X53" s="190"/>
      <c r="Y53" s="33"/>
      <c r="Z53" s="33"/>
      <c r="AA53" s="64" t="s">
        <v>439</v>
      </c>
      <c r="AB53" s="33"/>
      <c r="AC53" s="43"/>
      <c r="AD53" s="275">
        <v>20</v>
      </c>
      <c r="AE53" s="282"/>
    </row>
    <row r="54" spans="1:31" ht="25.5" x14ac:dyDescent="0.2">
      <c r="A54" s="314"/>
      <c r="B54" s="219" t="s">
        <v>112</v>
      </c>
      <c r="C54" s="69" t="s">
        <v>268</v>
      </c>
      <c r="D54" s="40" t="s">
        <v>9</v>
      </c>
      <c r="E54" s="29" t="s">
        <v>24</v>
      </c>
      <c r="F54" s="176" t="s">
        <v>494</v>
      </c>
      <c r="G54" s="207"/>
      <c r="H54" s="46" t="s">
        <v>6</v>
      </c>
      <c r="I54" s="46" t="s">
        <v>413</v>
      </c>
      <c r="J54" s="46" t="s">
        <v>415</v>
      </c>
      <c r="K54" s="26" t="s">
        <v>60</v>
      </c>
      <c r="L54" s="26" t="s">
        <v>576</v>
      </c>
      <c r="M54" s="26"/>
      <c r="N54" s="46"/>
      <c r="O54" s="26"/>
      <c r="P54" s="26" t="s">
        <v>7</v>
      </c>
      <c r="Q54" s="46" t="s">
        <v>267</v>
      </c>
      <c r="R54" s="26" t="s">
        <v>13</v>
      </c>
      <c r="S54" s="26" t="s">
        <v>42</v>
      </c>
      <c r="T54" s="267" t="s">
        <v>42</v>
      </c>
      <c r="U54" s="270" t="s">
        <v>10</v>
      </c>
      <c r="V54" s="29"/>
      <c r="W54" s="176"/>
      <c r="X54" s="197" t="s">
        <v>467</v>
      </c>
      <c r="Y54" s="33"/>
      <c r="Z54" s="71" t="s">
        <v>436</v>
      </c>
      <c r="AA54" s="71" t="s">
        <v>468</v>
      </c>
      <c r="AB54" s="33"/>
      <c r="AC54" s="43"/>
      <c r="AD54" s="274">
        <v>20</v>
      </c>
      <c r="AE54" s="282"/>
    </row>
    <row r="55" spans="1:31" ht="25.5" x14ac:dyDescent="0.2">
      <c r="A55" s="314"/>
      <c r="B55" s="219" t="s">
        <v>369</v>
      </c>
      <c r="C55" s="69" t="s">
        <v>268</v>
      </c>
      <c r="D55" s="40" t="s">
        <v>9</v>
      </c>
      <c r="E55" s="29" t="s">
        <v>24</v>
      </c>
      <c r="F55" s="176" t="s">
        <v>494</v>
      </c>
      <c r="G55" s="207"/>
      <c r="H55" s="46" t="s">
        <v>6</v>
      </c>
      <c r="I55" s="46" t="s">
        <v>266</v>
      </c>
      <c r="J55" s="46" t="s">
        <v>414</v>
      </c>
      <c r="K55" s="26" t="s">
        <v>60</v>
      </c>
      <c r="L55" s="26"/>
      <c r="M55" s="26"/>
      <c r="N55" s="46"/>
      <c r="O55" s="26"/>
      <c r="P55" s="26" t="s">
        <v>7</v>
      </c>
      <c r="Q55" s="46" t="s">
        <v>267</v>
      </c>
      <c r="R55" s="26" t="s">
        <v>13</v>
      </c>
      <c r="S55" s="26" t="s">
        <v>42</v>
      </c>
      <c r="T55" s="267" t="s">
        <v>42</v>
      </c>
      <c r="U55" s="270" t="s">
        <v>10</v>
      </c>
      <c r="V55" s="29"/>
      <c r="W55" s="176"/>
      <c r="X55" s="197" t="s">
        <v>467</v>
      </c>
      <c r="Y55" s="33"/>
      <c r="Z55" s="71" t="s">
        <v>436</v>
      </c>
      <c r="AA55" s="71" t="s">
        <v>468</v>
      </c>
      <c r="AB55" s="33"/>
      <c r="AC55" s="43"/>
      <c r="AD55" s="274">
        <v>20</v>
      </c>
      <c r="AE55" s="282"/>
    </row>
    <row r="56" spans="1:31" ht="51" x14ac:dyDescent="0.2">
      <c r="A56" s="314"/>
      <c r="B56" s="218" t="s">
        <v>188</v>
      </c>
      <c r="C56" s="148" t="s">
        <v>74</v>
      </c>
      <c r="D56" s="41" t="s">
        <v>483</v>
      </c>
      <c r="E56" s="39" t="s">
        <v>24</v>
      </c>
      <c r="F56" s="201" t="s">
        <v>493</v>
      </c>
      <c r="G56" s="207" t="s">
        <v>485</v>
      </c>
      <c r="H56" s="46" t="s">
        <v>394</v>
      </c>
      <c r="I56" s="46" t="s">
        <v>424</v>
      </c>
      <c r="J56" s="46" t="s">
        <v>424</v>
      </c>
      <c r="K56" s="26" t="s">
        <v>60</v>
      </c>
      <c r="L56" s="26" t="s">
        <v>26</v>
      </c>
      <c r="M56" s="26"/>
      <c r="N56" s="26"/>
      <c r="O56" s="26"/>
      <c r="P56" s="26" t="s">
        <v>7</v>
      </c>
      <c r="Q56" s="26"/>
      <c r="R56" s="26"/>
      <c r="S56" s="26" t="s">
        <v>42</v>
      </c>
      <c r="T56" s="267" t="s">
        <v>42</v>
      </c>
      <c r="U56" s="271" t="s">
        <v>10</v>
      </c>
      <c r="V56" s="29" t="s">
        <v>61</v>
      </c>
      <c r="W56" s="176"/>
      <c r="X56" s="190"/>
      <c r="Y56" s="33"/>
      <c r="Z56" s="33"/>
      <c r="AA56" s="33"/>
      <c r="AB56" s="33"/>
      <c r="AC56" s="43"/>
      <c r="AD56" s="274"/>
      <c r="AE56" s="281" t="s">
        <v>170</v>
      </c>
    </row>
    <row r="57" spans="1:31" ht="51.75" thickBot="1" x14ac:dyDescent="0.25">
      <c r="A57" s="315"/>
      <c r="B57" s="110" t="s">
        <v>57</v>
      </c>
      <c r="C57" s="150" t="s">
        <v>74</v>
      </c>
      <c r="D57" s="146" t="s">
        <v>9</v>
      </c>
      <c r="E57" s="147" t="s">
        <v>24</v>
      </c>
      <c r="F57" s="202" t="s">
        <v>493</v>
      </c>
      <c r="G57" s="213" t="s">
        <v>13</v>
      </c>
      <c r="H57" s="23" t="s">
        <v>412</v>
      </c>
      <c r="I57" s="23" t="s">
        <v>427</v>
      </c>
      <c r="J57" s="23" t="s">
        <v>427</v>
      </c>
      <c r="K57" s="28" t="s">
        <v>60</v>
      </c>
      <c r="L57" s="26" t="s">
        <v>180</v>
      </c>
      <c r="M57" s="28" t="s">
        <v>353</v>
      </c>
      <c r="N57" s="28"/>
      <c r="O57" s="28"/>
      <c r="P57" s="28" t="s">
        <v>7</v>
      </c>
      <c r="Q57" s="28"/>
      <c r="R57" s="28"/>
      <c r="S57" s="28" t="s">
        <v>42</v>
      </c>
      <c r="T57" s="268" t="s">
        <v>42</v>
      </c>
      <c r="U57" s="272" t="s">
        <v>10</v>
      </c>
      <c r="V57" s="31" t="s">
        <v>61</v>
      </c>
      <c r="W57" s="179"/>
      <c r="X57" s="193"/>
      <c r="Y57" s="34"/>
      <c r="Z57" s="34"/>
      <c r="AA57" s="34"/>
      <c r="AB57" s="34"/>
      <c r="AC57" s="44"/>
      <c r="AD57" s="277"/>
      <c r="AE57" s="283" t="s">
        <v>170</v>
      </c>
    </row>
    <row r="58" spans="1:31" ht="25.5" x14ac:dyDescent="0.2">
      <c r="A58" s="300" t="s">
        <v>532</v>
      </c>
      <c r="B58" s="143" t="s">
        <v>162</v>
      </c>
      <c r="C58" s="61">
        <v>1971</v>
      </c>
      <c r="D58" s="144" t="s">
        <v>9</v>
      </c>
      <c r="E58" s="36" t="s">
        <v>25</v>
      </c>
      <c r="F58" s="178" t="s">
        <v>493</v>
      </c>
      <c r="G58" s="212" t="s">
        <v>13</v>
      </c>
      <c r="H58" s="52" t="s">
        <v>407</v>
      </c>
      <c r="I58" s="52" t="s">
        <v>417</v>
      </c>
      <c r="J58" s="52" t="s">
        <v>426</v>
      </c>
      <c r="K58" s="262" t="s">
        <v>60</v>
      </c>
      <c r="L58" s="172" t="s">
        <v>26</v>
      </c>
      <c r="M58" s="37" t="s">
        <v>163</v>
      </c>
      <c r="N58" s="37" t="s">
        <v>40</v>
      </c>
      <c r="O58" s="37"/>
      <c r="P58" s="52" t="s">
        <v>464</v>
      </c>
      <c r="Q58" s="37" t="s">
        <v>13</v>
      </c>
      <c r="R58" s="52" t="s">
        <v>8</v>
      </c>
      <c r="S58" s="37" t="s">
        <v>164</v>
      </c>
      <c r="T58" s="210"/>
      <c r="U58" s="203" t="s">
        <v>10</v>
      </c>
      <c r="V58" s="36"/>
      <c r="W58" s="178"/>
      <c r="X58" s="198" t="s">
        <v>465</v>
      </c>
      <c r="Y58" s="38"/>
      <c r="Z58" s="145" t="s">
        <v>466</v>
      </c>
      <c r="AA58" s="145" t="s">
        <v>442</v>
      </c>
      <c r="AB58" s="38"/>
      <c r="AC58" s="45"/>
      <c r="AD58" s="192">
        <v>21</v>
      </c>
      <c r="AE58" s="187"/>
    </row>
    <row r="59" spans="1:31" ht="51" x14ac:dyDescent="0.2">
      <c r="A59" s="301"/>
      <c r="B59" s="48" t="s">
        <v>108</v>
      </c>
      <c r="C59" s="148" t="s">
        <v>74</v>
      </c>
      <c r="D59" s="40" t="s">
        <v>9</v>
      </c>
      <c r="E59" s="29" t="s">
        <v>25</v>
      </c>
      <c r="F59" s="176" t="s">
        <v>493</v>
      </c>
      <c r="G59" s="207" t="s">
        <v>13</v>
      </c>
      <c r="H59" s="46" t="s">
        <v>407</v>
      </c>
      <c r="I59" s="46" t="s">
        <v>417</v>
      </c>
      <c r="J59" s="46" t="s">
        <v>418</v>
      </c>
      <c r="K59" s="239" t="s">
        <v>60</v>
      </c>
      <c r="L59" s="171" t="s">
        <v>26</v>
      </c>
      <c r="M59" s="26" t="s">
        <v>163</v>
      </c>
      <c r="N59" s="26" t="s">
        <v>90</v>
      </c>
      <c r="O59" s="26" t="s">
        <v>91</v>
      </c>
      <c r="P59" s="26" t="s">
        <v>169</v>
      </c>
      <c r="Q59" s="26" t="s">
        <v>13</v>
      </c>
      <c r="R59" s="26" t="s">
        <v>13</v>
      </c>
      <c r="S59" s="26" t="s">
        <v>164</v>
      </c>
      <c r="T59" s="208"/>
      <c r="U59" s="181" t="s">
        <v>10</v>
      </c>
      <c r="V59" s="29" t="s">
        <v>61</v>
      </c>
      <c r="W59" s="176" t="s">
        <v>98</v>
      </c>
      <c r="X59" s="190" t="s">
        <v>435</v>
      </c>
      <c r="Y59" s="33">
        <v>20</v>
      </c>
      <c r="Z59" s="33" t="s">
        <v>436</v>
      </c>
      <c r="AA59" s="59" t="s">
        <v>442</v>
      </c>
      <c r="AB59" s="33" t="s">
        <v>440</v>
      </c>
      <c r="AC59" s="43">
        <v>2</v>
      </c>
      <c r="AD59" s="191">
        <v>21</v>
      </c>
      <c r="AE59" s="188" t="s">
        <v>534</v>
      </c>
    </row>
    <row r="60" spans="1:31" ht="25.5" x14ac:dyDescent="0.2">
      <c r="A60" s="301"/>
      <c r="B60" s="286" t="s">
        <v>89</v>
      </c>
      <c r="C60" s="29">
        <v>1978</v>
      </c>
      <c r="D60" s="40" t="s">
        <v>9</v>
      </c>
      <c r="E60" s="29" t="s">
        <v>25</v>
      </c>
      <c r="F60" s="177" t="s">
        <v>493</v>
      </c>
      <c r="G60" s="207" t="s">
        <v>13</v>
      </c>
      <c r="H60" s="46" t="s">
        <v>403</v>
      </c>
      <c r="I60" s="46" t="s">
        <v>7</v>
      </c>
      <c r="J60" s="46" t="s">
        <v>390</v>
      </c>
      <c r="K60" s="239" t="s">
        <v>60</v>
      </c>
      <c r="L60" s="240" t="s">
        <v>26</v>
      </c>
      <c r="M60" s="26" t="s">
        <v>203</v>
      </c>
      <c r="N60" s="26"/>
      <c r="O60" s="26"/>
      <c r="P60" s="26" t="s">
        <v>41</v>
      </c>
      <c r="Q60" s="26" t="s">
        <v>13</v>
      </c>
      <c r="R60" s="26" t="s">
        <v>13</v>
      </c>
      <c r="S60" s="26" t="s">
        <v>42</v>
      </c>
      <c r="T60" s="208" t="s">
        <v>42</v>
      </c>
      <c r="U60" s="181"/>
      <c r="V60" s="29" t="s">
        <v>61</v>
      </c>
      <c r="W60" s="176" t="s">
        <v>49</v>
      </c>
      <c r="X60" s="190"/>
      <c r="Y60" s="33"/>
      <c r="Z60" s="33"/>
      <c r="AA60" s="59" t="s">
        <v>439</v>
      </c>
      <c r="AB60" s="33"/>
      <c r="AC60" s="43"/>
      <c r="AD60" s="195">
        <v>20</v>
      </c>
      <c r="AE60" s="186" t="s">
        <v>101</v>
      </c>
    </row>
    <row r="61" spans="1:31" ht="25.5" x14ac:dyDescent="0.2">
      <c r="A61" s="301"/>
      <c r="B61" s="286" t="s">
        <v>22</v>
      </c>
      <c r="C61" s="29" t="s">
        <v>15</v>
      </c>
      <c r="D61" s="40" t="s">
        <v>605</v>
      </c>
      <c r="E61" s="29" t="s">
        <v>25</v>
      </c>
      <c r="F61" s="177" t="s">
        <v>493</v>
      </c>
      <c r="G61" s="207"/>
      <c r="H61" s="46" t="s">
        <v>403</v>
      </c>
      <c r="I61" s="46" t="s">
        <v>7</v>
      </c>
      <c r="J61" s="46" t="s">
        <v>7</v>
      </c>
      <c r="K61" s="239" t="s">
        <v>60</v>
      </c>
      <c r="L61" s="241" t="s">
        <v>26</v>
      </c>
      <c r="M61" s="26" t="s">
        <v>27</v>
      </c>
      <c r="N61" s="26" t="s">
        <v>40</v>
      </c>
      <c r="O61" s="26"/>
      <c r="P61" s="26" t="s">
        <v>41</v>
      </c>
      <c r="Q61" s="26" t="s">
        <v>13</v>
      </c>
      <c r="R61" s="26" t="s">
        <v>13</v>
      </c>
      <c r="S61" s="26" t="s">
        <v>42</v>
      </c>
      <c r="T61" s="208" t="s">
        <v>42</v>
      </c>
      <c r="U61" s="181"/>
      <c r="V61" s="29" t="s">
        <v>61</v>
      </c>
      <c r="W61" s="176" t="s">
        <v>98</v>
      </c>
      <c r="X61" s="190" t="s">
        <v>430</v>
      </c>
      <c r="Y61" s="33" t="s">
        <v>438</v>
      </c>
      <c r="Z61" s="33" t="s">
        <v>436</v>
      </c>
      <c r="AA61" s="33" t="s">
        <v>437</v>
      </c>
      <c r="AB61" s="33" t="s">
        <v>451</v>
      </c>
      <c r="AC61" s="43"/>
      <c r="AD61" s="195">
        <v>20</v>
      </c>
      <c r="AE61" s="186" t="s">
        <v>102</v>
      </c>
    </row>
    <row r="62" spans="1:31" ht="25.5" x14ac:dyDescent="0.2">
      <c r="A62" s="301"/>
      <c r="B62" s="286" t="s">
        <v>28</v>
      </c>
      <c r="C62" s="29" t="s">
        <v>15</v>
      </c>
      <c r="D62" s="40" t="s">
        <v>605</v>
      </c>
      <c r="E62" s="29" t="s">
        <v>25</v>
      </c>
      <c r="F62" s="177" t="s">
        <v>493</v>
      </c>
      <c r="G62" s="207"/>
      <c r="H62" s="46" t="s">
        <v>403</v>
      </c>
      <c r="I62" s="46" t="s">
        <v>51</v>
      </c>
      <c r="J62" s="46" t="s">
        <v>51</v>
      </c>
      <c r="K62" s="239" t="s">
        <v>60</v>
      </c>
      <c r="L62" s="240" t="s">
        <v>26</v>
      </c>
      <c r="M62" s="26"/>
      <c r="N62" s="26" t="s">
        <v>40</v>
      </c>
      <c r="O62" s="26"/>
      <c r="P62" s="26" t="s">
        <v>41</v>
      </c>
      <c r="Q62" s="26" t="s">
        <v>8</v>
      </c>
      <c r="R62" s="26" t="s">
        <v>8</v>
      </c>
      <c r="S62" s="26" t="s">
        <v>42</v>
      </c>
      <c r="T62" s="208" t="s">
        <v>42</v>
      </c>
      <c r="U62" s="181"/>
      <c r="V62" s="29" t="s">
        <v>61</v>
      </c>
      <c r="W62" s="176" t="s">
        <v>97</v>
      </c>
      <c r="X62" s="190" t="s">
        <v>430</v>
      </c>
      <c r="Y62" s="33" t="s">
        <v>438</v>
      </c>
      <c r="Z62" s="33" t="s">
        <v>436</v>
      </c>
      <c r="AA62" s="33" t="s">
        <v>437</v>
      </c>
      <c r="AB62" s="33" t="s">
        <v>451</v>
      </c>
      <c r="AC62" s="43"/>
      <c r="AD62" s="195">
        <v>20</v>
      </c>
      <c r="AE62" s="186" t="s">
        <v>103</v>
      </c>
    </row>
    <row r="63" spans="1:31" ht="38.25" x14ac:dyDescent="0.2">
      <c r="A63" s="301"/>
      <c r="B63" s="286" t="s">
        <v>30</v>
      </c>
      <c r="C63" s="29" t="s">
        <v>15</v>
      </c>
      <c r="D63" s="40" t="s">
        <v>605</v>
      </c>
      <c r="E63" s="29" t="s">
        <v>25</v>
      </c>
      <c r="F63" s="176" t="s">
        <v>495</v>
      </c>
      <c r="G63" s="207" t="s">
        <v>13</v>
      </c>
      <c r="H63" s="46" t="s">
        <v>409</v>
      </c>
      <c r="I63" s="46" t="s">
        <v>13</v>
      </c>
      <c r="J63" s="46" t="s">
        <v>416</v>
      </c>
      <c r="K63" s="239" t="s">
        <v>60</v>
      </c>
      <c r="L63" s="240" t="s">
        <v>26</v>
      </c>
      <c r="M63" s="26" t="s">
        <v>20</v>
      </c>
      <c r="N63" s="26" t="s">
        <v>90</v>
      </c>
      <c r="O63" s="26" t="s">
        <v>91</v>
      </c>
      <c r="P63" s="26" t="s">
        <v>7</v>
      </c>
      <c r="Q63" s="26" t="s">
        <v>77</v>
      </c>
      <c r="R63" s="26" t="s">
        <v>77</v>
      </c>
      <c r="S63" s="26" t="s">
        <v>42</v>
      </c>
      <c r="T63" s="208" t="s">
        <v>42</v>
      </c>
      <c r="U63" s="181" t="s">
        <v>244</v>
      </c>
      <c r="V63" s="29" t="s">
        <v>61</v>
      </c>
      <c r="W63" s="176" t="s">
        <v>505</v>
      </c>
      <c r="X63" s="190" t="s">
        <v>430</v>
      </c>
      <c r="Y63" s="33" t="s">
        <v>438</v>
      </c>
      <c r="Z63" s="33" t="s">
        <v>436</v>
      </c>
      <c r="AA63" s="33" t="s">
        <v>437</v>
      </c>
      <c r="AB63" s="33" t="s">
        <v>451</v>
      </c>
      <c r="AC63" s="24" t="s">
        <v>243</v>
      </c>
      <c r="AD63" s="195">
        <v>20</v>
      </c>
      <c r="AE63" s="186" t="s">
        <v>104</v>
      </c>
    </row>
    <row r="64" spans="1:31" ht="76.5" customHeight="1" x14ac:dyDescent="0.2">
      <c r="A64" s="301"/>
      <c r="B64" s="66" t="s">
        <v>265</v>
      </c>
      <c r="C64" s="69" t="s">
        <v>268</v>
      </c>
      <c r="D64" s="40" t="s">
        <v>9</v>
      </c>
      <c r="E64" s="29" t="s">
        <v>25</v>
      </c>
      <c r="F64" s="176" t="s">
        <v>494</v>
      </c>
      <c r="G64" s="207"/>
      <c r="H64" s="46" t="s">
        <v>6</v>
      </c>
      <c r="I64" s="46" t="s">
        <v>413</v>
      </c>
      <c r="J64" s="46" t="s">
        <v>415</v>
      </c>
      <c r="K64" s="239" t="s">
        <v>60</v>
      </c>
      <c r="L64" s="239"/>
      <c r="M64" s="26"/>
      <c r="N64" s="46"/>
      <c r="O64" s="26"/>
      <c r="P64" s="26" t="s">
        <v>7</v>
      </c>
      <c r="Q64" s="26" t="s">
        <v>267</v>
      </c>
      <c r="R64" s="26" t="s">
        <v>13</v>
      </c>
      <c r="S64" s="26" t="s">
        <v>42</v>
      </c>
      <c r="T64" s="208" t="s">
        <v>42</v>
      </c>
      <c r="U64" s="206" t="s">
        <v>10</v>
      </c>
      <c r="V64" s="29"/>
      <c r="W64" s="176"/>
      <c r="X64" s="197" t="s">
        <v>435</v>
      </c>
      <c r="Y64" s="33"/>
      <c r="Z64" s="71" t="s">
        <v>466</v>
      </c>
      <c r="AA64" s="71" t="s">
        <v>463</v>
      </c>
      <c r="AB64" s="33"/>
      <c r="AC64" s="43"/>
      <c r="AD64" s="191">
        <v>21</v>
      </c>
      <c r="AE64" s="186"/>
    </row>
    <row r="65" spans="1:31" ht="26.25" thickBot="1" x14ac:dyDescent="0.25">
      <c r="A65" s="302"/>
      <c r="B65" s="67" t="s">
        <v>370</v>
      </c>
      <c r="C65" s="70" t="s">
        <v>268</v>
      </c>
      <c r="D65" s="68" t="s">
        <v>9</v>
      </c>
      <c r="E65" s="31" t="s">
        <v>25</v>
      </c>
      <c r="F65" s="179" t="s">
        <v>494</v>
      </c>
      <c r="G65" s="213"/>
      <c r="H65" s="23" t="s">
        <v>6</v>
      </c>
      <c r="I65" s="23" t="s">
        <v>266</v>
      </c>
      <c r="J65" s="23" t="s">
        <v>414</v>
      </c>
      <c r="K65" s="242" t="s">
        <v>60</v>
      </c>
      <c r="L65" s="242"/>
      <c r="M65" s="28"/>
      <c r="N65" s="23"/>
      <c r="O65" s="28"/>
      <c r="P65" s="28"/>
      <c r="Q65" s="28"/>
      <c r="R65" s="28"/>
      <c r="S65" s="28" t="s">
        <v>42</v>
      </c>
      <c r="T65" s="211" t="s">
        <v>42</v>
      </c>
      <c r="U65" s="204"/>
      <c r="V65" s="31"/>
      <c r="W65" s="179"/>
      <c r="X65" s="199" t="s">
        <v>435</v>
      </c>
      <c r="Y65" s="34"/>
      <c r="Z65" s="72" t="s">
        <v>466</v>
      </c>
      <c r="AA65" s="72" t="s">
        <v>463</v>
      </c>
      <c r="AB65" s="34"/>
      <c r="AC65" s="44"/>
      <c r="AD65" s="194">
        <v>22</v>
      </c>
      <c r="AE65" s="189"/>
    </row>
  </sheetData>
  <sheetProtection selectLockedCells="1"/>
  <autoFilter ref="A3:AE62" xr:uid="{00000000-0009-0000-0000-000000000000}"/>
  <sortState xmlns:xlrd2="http://schemas.microsoft.com/office/spreadsheetml/2017/richdata2" ref="B32:AE55">
    <sortCondition ref="AE32:AE55"/>
  </sortState>
  <mergeCells count="7">
    <mergeCell ref="B1:E1"/>
    <mergeCell ref="A58:A65"/>
    <mergeCell ref="X2:AD2"/>
    <mergeCell ref="G2:T2"/>
    <mergeCell ref="A28:A31"/>
    <mergeCell ref="A4:A27"/>
    <mergeCell ref="A32:A57"/>
  </mergeCells>
  <phoneticPr fontId="2" type="noConversion"/>
  <hyperlinks>
    <hyperlink ref="C59" location="STATS!AD36" display="STATS!AD36" xr:uid="{00000000-0004-0000-0000-000000000000}"/>
    <hyperlink ref="C57" location="STATS!AD24" display="STATS!AD24" xr:uid="{00000000-0004-0000-0000-000001000000}"/>
    <hyperlink ref="C56" location="STATS!AD24" display="STATS!AD24" xr:uid="{00000000-0004-0000-0000-000002000000}"/>
    <hyperlink ref="C25" location="STATS!AD10" display="Pre-1974 SEE COMMENTS" xr:uid="{00000000-0004-0000-0000-000003000000}"/>
    <hyperlink ref="C24" location="STATS!AD10" display="Pre-1974 SEE COMMENTS" xr:uid="{00000000-0004-0000-0000-000004000000}"/>
    <hyperlink ref="C23" location="STATS!AD9" display="SEE COMMENTS" xr:uid="{00000000-0004-0000-0000-000005000000}"/>
    <hyperlink ref="C22" location="STATS!AD8" display="SEE COMMENTS" xr:uid="{00000000-0004-0000-0000-000006000000}"/>
    <hyperlink ref="C20" location="STATS!AD5" display="Pre-1974 SEE COMMENTS" xr:uid="{00000000-0004-0000-0000-000007000000}"/>
    <hyperlink ref="C27" location="STATS!AD10" display="Pre-1974 SEE COMMENTS" xr:uid="{00000000-0004-0000-0000-000008000000}"/>
    <hyperlink ref="C6" location="STATS!AD5" display="Pre-1974 SEE COMMENTS" xr:uid="{00000000-0004-0000-0000-000009000000}"/>
    <hyperlink ref="L18" location="'Classical Rosettes'!O1" display="DECORATIVE CLASSICAL ROSETTE" xr:uid="{00000000-0004-0000-0000-000016000000}"/>
    <hyperlink ref="L19" location="'Classical Rosettes'!P1" display="DECORATIVE CLASSICAL ROSETTE" xr:uid="{00000000-0004-0000-0000-000017000000}"/>
    <hyperlink ref="L20" location="'Classical Rosettes'!E1" display="DECORATIVE CLASSICAL ROSETTE" xr:uid="{00000000-0004-0000-0000-000018000000}"/>
    <hyperlink ref="L22" location="'Classical Rosettes'!E1" display="DECORATIVE CLASSICAL ROSETTE" xr:uid="{00000000-0004-0000-0000-000019000000}"/>
    <hyperlink ref="L23" location="'Classical Rosettes'!K1" display="DECORATIVE CLASSICAL ROSETTE" xr:uid="{00000000-0004-0000-0000-00001A000000}"/>
    <hyperlink ref="L24" location="'Classical Rosettes'!Q1" display="DECORATIVE CLASSICAL ROSETTE" xr:uid="{00000000-0004-0000-0000-00001B000000}"/>
    <hyperlink ref="L25" location="'Classical Rosettes'!Q1" display="DECORATIVE CLASSICAL ROSETTE" xr:uid="{00000000-0004-0000-0000-00001C000000}"/>
    <hyperlink ref="L21" location="'Classical Rosettes'!P1" display="DECORATIVE CLASSICAL ROSETTE" xr:uid="{00000000-0004-0000-0000-00001D000000}"/>
    <hyperlink ref="L27" location="'Classical Rosettes'!S1" display="DECORATIVE CLASSICAL ROSETTE" xr:uid="{00000000-0004-0000-0000-00001E000000}"/>
    <hyperlink ref="C26" location="STATS!AE26" display="SEE COMMENTS" xr:uid="{00000000-0004-0000-0000-00001F000000}"/>
    <hyperlink ref="L26" location="'Classical Rosettes'!R1" display="DECORATIVE CLASSICAL ROSETTE" xr:uid="{00000000-0004-0000-0000-000020000000}"/>
    <hyperlink ref="L28" location="'Steel-String Rosettes'!A1" display="SIMPLE BWB RINGS" xr:uid="{00000000-0004-0000-0000-000021000000}"/>
    <hyperlink ref="L29" location="'Steel-String Rosettes'!A1" display="SIMPLE BWB RINGS" xr:uid="{00000000-0004-0000-0000-000022000000}"/>
    <hyperlink ref="L30" location="'Steel-String Rosettes'!A1" display="SIMPLE BWB RINGS" xr:uid="{00000000-0004-0000-0000-000023000000}"/>
    <hyperlink ref="L31" location="'Steel-String Rosettes'!A1" display="SIMPLE BWB RINGS" xr:uid="{00000000-0004-0000-0000-000024000000}"/>
    <hyperlink ref="L33" location="'Steel-String Rosettes'!D1" display="SIMPLE BWB RINGS" xr:uid="{00000000-0004-0000-0000-000025000000}"/>
    <hyperlink ref="L34" location="'Steel-String Rosettes'!E1" display="SIMPLE BWB RINGS" xr:uid="{00000000-0004-0000-0000-000026000000}"/>
    <hyperlink ref="L35" location="'Steel-String Rosettes'!F1" display="ALTERNATING MARQUETRY" xr:uid="{00000000-0004-0000-0000-000027000000}"/>
    <hyperlink ref="L36" location="'Steel-String Rosettes'!H1" display="SIMPLE BWB RINGS" xr:uid="{00000000-0004-0000-0000-000028000000}"/>
    <hyperlink ref="L37" location="'Steel-String Rosettes'!K1" display="SIMPLE BWB RINGS" xr:uid="{00000000-0004-0000-0000-000029000000}"/>
    <hyperlink ref="L32" location="'Steel-String Rosettes'!C1" display="SIMPLE BWB RINGS" xr:uid="{00000000-0004-0000-0000-00002A000000}"/>
    <hyperlink ref="L38" location="'Steel-String Rosettes'!G1" display="SIMPLE BWB RINGS" xr:uid="{00000000-0004-0000-0000-00002B000000}"/>
    <hyperlink ref="L39" location="STATS!I1" display="SIMPLE BWB RINGS" xr:uid="{00000000-0004-0000-0000-00002C000000}"/>
    <hyperlink ref="L40" location="'Steel-String Rosettes'!J1" display="SIMPLE BWB RINGS" xr:uid="{00000000-0004-0000-0000-00002D000000}"/>
    <hyperlink ref="L41" location="'Steel-String Rosettes'!J1" display="SIMPLE BWB RINGS" xr:uid="{00000000-0004-0000-0000-00002E000000}"/>
    <hyperlink ref="L42" location="'Steel-String Rosettes'!L1" display="WBW, WBW, WBW RINGS" xr:uid="{00000000-0004-0000-0000-00002F000000}"/>
    <hyperlink ref="L43" location="'Steel-String Rosettes'!M1" display="SIMPLE BWB RINGS" xr:uid="{00000000-0004-0000-0000-000030000000}"/>
    <hyperlink ref="L44" location="'Steel-String Rosettes'!M1" display="SIMPLE BWB RINGS" xr:uid="{00000000-0004-0000-0000-000031000000}"/>
    <hyperlink ref="L45" location="'Steel-String Rosettes'!N1" display="SIMPLE BWB RINGS" xr:uid="{00000000-0004-0000-0000-000032000000}"/>
    <hyperlink ref="L46" location="'Steel-String Rosettes'!O1" display="SIMPLE BWB RINGS" xr:uid="{00000000-0004-0000-0000-000033000000}"/>
    <hyperlink ref="L47" location="'Steel-String Rosettes'!P1" display="SIMPLE BWB RINGS" xr:uid="{00000000-0004-0000-0000-000035000000}"/>
    <hyperlink ref="L48" location="'Steel-String Rosettes'!P1" display="BWB and ABALONE" xr:uid="{00000000-0004-0000-0000-000036000000}"/>
    <hyperlink ref="L49" location="'Steel-String Rosettes'!Q1" display="MOTHER OF PEARL" xr:uid="{00000000-0004-0000-0000-000037000000}"/>
    <hyperlink ref="L50" location="'Steel-String Rosettes'!R1" display="BWB RINGS" xr:uid="{00000000-0004-0000-0000-000038000000}"/>
    <hyperlink ref="L51" location="'Steel-String Rosettes'!S1" display="INLAID ABALONE" xr:uid="{00000000-0004-0000-0000-000039000000}"/>
    <hyperlink ref="L53" location="'Steel-String Rosettes'!U1" display="PEARL" xr:uid="{00000000-0004-0000-0000-00003A000000}"/>
    <hyperlink ref="L54" location="'Steel-String Rosettes'!V1" display="HERRINGBONE &amp; BWB RINGS" xr:uid="{00000000-0004-0000-0000-00003B000000}"/>
    <hyperlink ref="L56" location="'Steel-String Rosettes'!G1" display="SIMPLE BWB RINGS" xr:uid="{00000000-0004-0000-0000-00003C000000}"/>
    <hyperlink ref="L57" location="'Steel-String Rosettes'!L1" display="WBW, WBW, WBW RINGS" xr:uid="{00000000-0004-0000-0000-00003D000000}"/>
    <hyperlink ref="L58" location="'Steel-String Rosettes'!AB1" display="SIMPLE BWB RINGS" xr:uid="{00000000-0004-0000-0000-00003E000000}"/>
    <hyperlink ref="L59" location="STATS!AC1" display="SIMPLE BWB RINGS" xr:uid="{00000000-0004-0000-0000-00003F000000}"/>
    <hyperlink ref="L60" location="'Steel-String Rosettes'!X1" display="SIMPLE BWB RINGS" xr:uid="{00000000-0004-0000-0000-000040000000}"/>
    <hyperlink ref="L62" location="'Steel-String Rosettes'!Z1" display="SIMPLE BWB RINGS" xr:uid="{00000000-0004-0000-0000-000041000000}"/>
    <hyperlink ref="L63" location="'Steel-String Rosettes'!AA1" display="SIMPLE BWB RINGS" xr:uid="{00000000-0004-0000-0000-000042000000}"/>
    <hyperlink ref="L4" location="'Classical Rosettes'!A1" display="DECORATIVE CLASSICAL ROSETTE" xr:uid="{69A67ACC-0E2B-4530-B3C0-BF278A3F3D24}"/>
    <hyperlink ref="L5" location="'Classical Rosettes'!B1" display="DECORATIVE CLASSICAL ROSETTE" xr:uid="{6E6CEEFC-22A8-4C52-B336-BA8A05EF73CF}"/>
    <hyperlink ref="L6" location="'Classical Rosettes'!C1" display="DECORATIVE CLASSICAL ROSETTE" xr:uid="{0E6734AB-EB88-497E-8FC0-4FF54C951835}"/>
    <hyperlink ref="L7" location="'Classical Rosettes'!D1" display="DECORATIVE CLASSICAL ROSETTE" xr:uid="{B1117F3A-79DB-467B-8EC7-9576F7B6A211}"/>
    <hyperlink ref="L8" location="'Classical Rosettes'!E1" display="DECORATIVE CLASSICAL ROSETTE" xr:uid="{44AC3D5F-C3FF-4CC3-9B07-65DF19263FA8}"/>
    <hyperlink ref="L9" location="'Classical Rosettes'!F1" display="DECORATIVE CLASSICAL ROSETTE" xr:uid="{18DE2B45-DBEB-4A1A-8869-777E6A116D43}"/>
    <hyperlink ref="L10" location="'Classical Rosettes'!G1" display="DECORATIVE CLASSICAL ROSETTE" xr:uid="{4ADE5515-C805-4042-91E9-03BBC5A8DBA2}"/>
    <hyperlink ref="L11" location="'Classical Rosettes'!H1" display="DECORATIVE CLASSICAL ROSETTE" xr:uid="{03585F08-54BD-4BE4-851B-7E74F798B731}"/>
    <hyperlink ref="L12" location="'Classical Rosettes'!I1" display="DECORATIVE CLASSICAL ROSETTE" xr:uid="{CF0E87BC-3EE6-4521-8D00-0F14ED0D7092}"/>
    <hyperlink ref="L13" location="'Classical Rosettes'!J1" display="DECORATIVE CLASSICAL ROSETTE" xr:uid="{8B247D09-ACF4-47ED-AB54-EA73479E673C}"/>
    <hyperlink ref="L14" location="'Classical Rosettes'!K1" display="DECORATIVE CLASSICAL ROSETTE" xr:uid="{23817633-3217-437E-BF48-6B0D0D261482}"/>
    <hyperlink ref="L15" location="'Classical Rosettes'!L1" display="DECORATIVE CLASSICAL ROSETTE" xr:uid="{23FC3064-8B3F-47DC-972F-A60F83641860}"/>
    <hyperlink ref="L16" location="'Classical Rosettes'!M1" display="DECORATIVE CLASSICAL ROSETTE" xr:uid="{3AE099CB-B62A-4277-A4D7-F630593C1A0B}"/>
    <hyperlink ref="L17" location="'Classical Rosettes'!N1" display="DECORATIVE CLASSICAL ROSETTE" xr:uid="{D6E6DF9B-8725-43B2-A7FD-278BDABA553B}"/>
  </hyperlinks>
  <pageMargins left="0.75" right="0.75" top="1" bottom="1" header="0.5" footer="0.5"/>
  <pageSetup scale="32" fitToHeight="0" orientation="landscape" horizontalDpi="4294967293" r:id="rId1"/>
  <headerFooter alignWithMargins="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BF89"/>
  <sheetViews>
    <sheetView tabSelected="1" workbookViewId="0">
      <pane xSplit="2" ySplit="6" topLeftCell="W7" activePane="bottomRight" state="frozenSplit"/>
      <selection pane="topRight" activeCell="C1" sqref="C1"/>
      <selection pane="bottomLeft" activeCell="B7" sqref="B7"/>
      <selection pane="bottomRight" activeCell="AH2" sqref="AH2"/>
    </sheetView>
  </sheetViews>
  <sheetFormatPr defaultRowHeight="12.75" x14ac:dyDescent="0.2"/>
  <cols>
    <col min="1" max="1" width="5.28515625" customWidth="1"/>
    <col min="2" max="2" width="38.28515625" style="1" customWidth="1"/>
    <col min="3" max="3" width="13.7109375" style="1" customWidth="1"/>
    <col min="4" max="4" width="16.42578125" style="1" customWidth="1"/>
    <col min="5" max="21" width="13.7109375" style="1" customWidth="1"/>
    <col min="22" max="22" width="18.42578125" style="1" bestFit="1" customWidth="1"/>
    <col min="23" max="57" width="13.7109375" style="1" customWidth="1"/>
    <col min="58" max="16384" width="9.140625" style="1"/>
  </cols>
  <sheetData>
    <row r="1" spans="1:58" ht="13.5" thickBot="1" x14ac:dyDescent="0.25">
      <c r="B1" s="18" t="s">
        <v>253</v>
      </c>
    </row>
    <row r="2" spans="1:58" ht="64.5" customHeight="1" thickBot="1" x14ac:dyDescent="0.25">
      <c r="B2" s="20" t="s">
        <v>515</v>
      </c>
      <c r="F2" s="316" t="s">
        <v>527</v>
      </c>
      <c r="G2" s="317"/>
      <c r="H2" s="317"/>
      <c r="I2" s="318"/>
      <c r="Q2" s="316" t="s">
        <v>392</v>
      </c>
      <c r="R2" s="317"/>
      <c r="S2" s="317"/>
      <c r="T2" s="318"/>
      <c r="Z2" s="316" t="s">
        <v>392</v>
      </c>
      <c r="AA2" s="317"/>
      <c r="AB2" s="317"/>
      <c r="AC2" s="318"/>
      <c r="AJ2" s="316" t="s">
        <v>392</v>
      </c>
      <c r="AK2" s="317"/>
      <c r="AL2" s="317"/>
      <c r="AM2" s="318"/>
      <c r="AT2" s="316" t="s">
        <v>392</v>
      </c>
      <c r="AU2" s="317"/>
      <c r="AV2" s="317"/>
      <c r="AW2" s="318"/>
      <c r="BC2" s="316" t="s">
        <v>392</v>
      </c>
      <c r="BD2" s="317"/>
      <c r="BE2" s="317"/>
      <c r="BF2" s="318"/>
    </row>
    <row r="3" spans="1:58" ht="15.75" thickBot="1" x14ac:dyDescent="0.25">
      <c r="B3" s="21" t="s">
        <v>257</v>
      </c>
      <c r="F3" s="19"/>
      <c r="G3" s="19"/>
      <c r="H3" s="19"/>
      <c r="I3" s="19"/>
    </row>
    <row r="4" spans="1:58" ht="15.75" thickBot="1" x14ac:dyDescent="0.25">
      <c r="B4" s="22" t="s">
        <v>258</v>
      </c>
      <c r="F4" s="19"/>
      <c r="G4" s="19"/>
      <c r="H4" s="19"/>
      <c r="I4" s="19"/>
    </row>
    <row r="5" spans="1:58" customFormat="1" ht="9" customHeight="1" thickBot="1" x14ac:dyDescent="0.25"/>
    <row r="6" spans="1:58" s="102" customFormat="1" ht="26.25" thickBot="1" x14ac:dyDescent="0.25">
      <c r="A6" s="75"/>
      <c r="B6" s="105" t="s">
        <v>58</v>
      </c>
      <c r="C6" s="105" t="s">
        <v>192</v>
      </c>
      <c r="D6" s="105" t="s">
        <v>354</v>
      </c>
      <c r="E6" s="105" t="s">
        <v>341</v>
      </c>
      <c r="F6" s="105" t="s">
        <v>39</v>
      </c>
      <c r="G6" s="105" t="s">
        <v>376</v>
      </c>
      <c r="H6" s="105" t="s">
        <v>35</v>
      </c>
      <c r="I6" s="105" t="s">
        <v>193</v>
      </c>
      <c r="J6" s="105" t="s">
        <v>377</v>
      </c>
      <c r="K6" s="105" t="s">
        <v>37</v>
      </c>
      <c r="L6" s="105" t="s">
        <v>194</v>
      </c>
      <c r="M6" s="105" t="s">
        <v>38</v>
      </c>
      <c r="N6" s="105" t="s">
        <v>195</v>
      </c>
      <c r="O6" s="105" t="s">
        <v>269</v>
      </c>
      <c r="P6" s="105" t="s">
        <v>165</v>
      </c>
      <c r="Q6" s="105" t="s">
        <v>367</v>
      </c>
      <c r="R6" s="105" t="s">
        <v>368</v>
      </c>
      <c r="S6" s="105">
        <v>1000</v>
      </c>
      <c r="T6" s="105" t="s">
        <v>324</v>
      </c>
      <c r="U6" s="105" t="s">
        <v>357</v>
      </c>
      <c r="V6" s="105" t="s">
        <v>359</v>
      </c>
      <c r="W6" s="105" t="s">
        <v>358</v>
      </c>
      <c r="X6" s="105" t="s">
        <v>81</v>
      </c>
      <c r="Y6" s="105" t="s">
        <v>275</v>
      </c>
      <c r="Z6" s="105" t="s">
        <v>31</v>
      </c>
      <c r="AA6" s="105" t="s">
        <v>110</v>
      </c>
      <c r="AB6" s="105" t="s">
        <v>34</v>
      </c>
      <c r="AC6" s="105" t="s">
        <v>82</v>
      </c>
      <c r="AD6" s="105" t="s">
        <v>14</v>
      </c>
      <c r="AE6" s="105" t="s">
        <v>88</v>
      </c>
      <c r="AF6" s="105" t="s">
        <v>33</v>
      </c>
      <c r="AG6" s="105" t="s">
        <v>80</v>
      </c>
      <c r="AH6" s="105" t="s">
        <v>21</v>
      </c>
      <c r="AI6" s="105" t="s">
        <v>43</v>
      </c>
      <c r="AJ6" s="105" t="s">
        <v>356</v>
      </c>
      <c r="AK6" s="105" t="s">
        <v>111</v>
      </c>
      <c r="AL6" s="105" t="s">
        <v>11</v>
      </c>
      <c r="AM6" s="105" t="s">
        <v>274</v>
      </c>
      <c r="AN6" s="105" t="s">
        <v>196</v>
      </c>
      <c r="AO6" s="105" t="s">
        <v>67</v>
      </c>
      <c r="AP6" s="105" t="s">
        <v>5</v>
      </c>
      <c r="AQ6" s="105" t="s">
        <v>162</v>
      </c>
      <c r="AR6" s="105" t="s">
        <v>18</v>
      </c>
      <c r="AS6" s="105" t="s">
        <v>84</v>
      </c>
      <c r="AT6" s="105" t="s">
        <v>112</v>
      </c>
      <c r="AU6" s="105" t="s">
        <v>265</v>
      </c>
      <c r="AV6" s="105" t="s">
        <v>369</v>
      </c>
      <c r="AW6" s="105" t="s">
        <v>370</v>
      </c>
      <c r="AX6" s="105" t="s">
        <v>188</v>
      </c>
      <c r="AY6" s="105" t="s">
        <v>57</v>
      </c>
      <c r="AZ6" s="105" t="s">
        <v>108</v>
      </c>
      <c r="BA6" s="105" t="s">
        <v>89</v>
      </c>
      <c r="BB6" s="105" t="s">
        <v>22</v>
      </c>
      <c r="BC6" s="105" t="s">
        <v>113</v>
      </c>
      <c r="BD6" s="105" t="s">
        <v>30</v>
      </c>
      <c r="BE6" s="106" t="s">
        <v>273</v>
      </c>
    </row>
    <row r="7" spans="1:58" s="103" customFormat="1" ht="45.75" customHeight="1" thickBot="1" x14ac:dyDescent="0.25">
      <c r="A7" s="75"/>
      <c r="B7" s="113" t="s">
        <v>114</v>
      </c>
      <c r="C7" s="114" t="s">
        <v>147</v>
      </c>
      <c r="D7" s="114" t="s">
        <v>355</v>
      </c>
      <c r="E7" s="114" t="s">
        <v>342</v>
      </c>
      <c r="F7" s="114" t="s">
        <v>147</v>
      </c>
      <c r="G7" s="115" t="s">
        <v>147</v>
      </c>
      <c r="H7" s="115" t="s">
        <v>147</v>
      </c>
      <c r="I7" s="115" t="s">
        <v>147</v>
      </c>
      <c r="J7" s="115" t="s">
        <v>147</v>
      </c>
      <c r="K7" s="115" t="s">
        <v>147</v>
      </c>
      <c r="L7" s="115" t="s">
        <v>147</v>
      </c>
      <c r="M7" s="115" t="s">
        <v>147</v>
      </c>
      <c r="N7" s="115" t="s">
        <v>147</v>
      </c>
      <c r="O7" s="115" t="s">
        <v>147</v>
      </c>
      <c r="P7" s="115" t="s">
        <v>147</v>
      </c>
      <c r="Q7" s="115" t="s">
        <v>147</v>
      </c>
      <c r="R7" s="115" t="s">
        <v>147</v>
      </c>
      <c r="S7" s="115" t="s">
        <v>329</v>
      </c>
      <c r="T7" s="115" t="s">
        <v>325</v>
      </c>
      <c r="U7" s="115" t="s">
        <v>251</v>
      </c>
      <c r="V7" s="115" t="s">
        <v>360</v>
      </c>
      <c r="W7" s="115" t="s">
        <v>251</v>
      </c>
      <c r="X7" s="115" t="s">
        <v>159</v>
      </c>
      <c r="Y7" s="115" t="s">
        <v>276</v>
      </c>
      <c r="Z7" s="116" t="s">
        <v>332</v>
      </c>
      <c r="AA7" s="116" t="s">
        <v>149</v>
      </c>
      <c r="AB7" s="116" t="s">
        <v>148</v>
      </c>
      <c r="AC7" s="116" t="s">
        <v>210</v>
      </c>
      <c r="AD7" s="116" t="s">
        <v>149</v>
      </c>
      <c r="AE7" s="116" t="s">
        <v>149</v>
      </c>
      <c r="AF7" s="116" t="s">
        <v>148</v>
      </c>
      <c r="AG7" s="116" t="s">
        <v>149</v>
      </c>
      <c r="AH7" s="116" t="s">
        <v>159</v>
      </c>
      <c r="AI7" s="116" t="s">
        <v>182</v>
      </c>
      <c r="AJ7" s="116" t="s">
        <v>159</v>
      </c>
      <c r="AK7" s="116" t="s">
        <v>149</v>
      </c>
      <c r="AL7" s="116" t="s">
        <v>149</v>
      </c>
      <c r="AM7" s="116" t="s">
        <v>149</v>
      </c>
      <c r="AN7" s="116" t="s">
        <v>383</v>
      </c>
      <c r="AO7" s="116" t="s">
        <v>149</v>
      </c>
      <c r="AP7" s="116" t="s">
        <v>149</v>
      </c>
      <c r="AQ7" s="116" t="s">
        <v>150</v>
      </c>
      <c r="AR7" s="116" t="s">
        <v>149</v>
      </c>
      <c r="AS7" s="116" t="s">
        <v>149</v>
      </c>
      <c r="AT7" s="116" t="s">
        <v>371</v>
      </c>
      <c r="AU7" s="116" t="s">
        <v>372</v>
      </c>
      <c r="AV7" s="116" t="s">
        <v>371</v>
      </c>
      <c r="AW7" s="116" t="s">
        <v>372</v>
      </c>
      <c r="AX7" s="116" t="s">
        <v>149</v>
      </c>
      <c r="AY7" s="116" t="s">
        <v>149</v>
      </c>
      <c r="AZ7" s="117" t="s">
        <v>151</v>
      </c>
      <c r="BA7" s="116" t="s">
        <v>150</v>
      </c>
      <c r="BB7" s="116" t="s">
        <v>150</v>
      </c>
      <c r="BC7" s="116" t="s">
        <v>150</v>
      </c>
      <c r="BD7" s="116" t="s">
        <v>150</v>
      </c>
      <c r="BE7" s="117" t="s">
        <v>150</v>
      </c>
    </row>
    <row r="8" spans="1:58" s="103" customFormat="1" ht="45.75" customHeight="1" thickBot="1" x14ac:dyDescent="0.25">
      <c r="A8" s="75"/>
      <c r="B8" s="127" t="s">
        <v>514</v>
      </c>
      <c r="C8" s="118"/>
      <c r="D8" s="119"/>
      <c r="E8" s="119"/>
      <c r="F8" s="119"/>
      <c r="G8" s="119">
        <v>108</v>
      </c>
      <c r="H8" s="119"/>
      <c r="I8" s="119"/>
      <c r="J8" s="119">
        <v>125</v>
      </c>
      <c r="K8" s="119"/>
      <c r="L8" s="119"/>
      <c r="M8" s="119"/>
      <c r="N8" s="119"/>
      <c r="O8" s="119"/>
      <c r="P8" s="119"/>
      <c r="Q8" s="119"/>
      <c r="R8" s="119"/>
      <c r="S8" s="119"/>
      <c r="T8" s="119"/>
      <c r="U8" s="119"/>
      <c r="V8" s="119"/>
      <c r="W8" s="119"/>
      <c r="X8" s="119"/>
      <c r="Y8" s="119"/>
      <c r="Z8" s="119"/>
      <c r="AA8" s="119"/>
      <c r="AB8" s="119"/>
      <c r="AC8" s="119"/>
      <c r="AD8" s="119"/>
      <c r="AE8" s="119"/>
      <c r="AF8" s="119"/>
      <c r="AG8" s="119"/>
      <c r="AH8" s="119"/>
      <c r="AI8" s="119"/>
      <c r="AJ8" s="119"/>
      <c r="AK8" s="119">
        <v>185</v>
      </c>
      <c r="AL8" s="119"/>
      <c r="AM8" s="119"/>
      <c r="AN8" s="119"/>
      <c r="AO8" s="119"/>
      <c r="AP8" s="119">
        <v>425</v>
      </c>
      <c r="AQ8" s="119"/>
      <c r="AR8" s="119"/>
      <c r="AS8" s="119"/>
      <c r="AT8" s="119"/>
      <c r="AU8" s="119"/>
      <c r="AV8" s="119"/>
      <c r="AW8" s="119"/>
      <c r="AX8" s="119"/>
      <c r="AY8" s="119"/>
      <c r="AZ8" s="120"/>
      <c r="BA8" s="119"/>
      <c r="BB8" s="119"/>
      <c r="BC8" s="119"/>
      <c r="BD8" s="119">
        <v>239.5</v>
      </c>
      <c r="BE8" s="120"/>
    </row>
    <row r="9" spans="1:58" s="103" customFormat="1" ht="63.75" thickBot="1" x14ac:dyDescent="0.25">
      <c r="A9" s="75"/>
      <c r="B9" s="142" t="s">
        <v>528</v>
      </c>
      <c r="C9" s="121"/>
      <c r="D9" s="122"/>
      <c r="E9" s="122"/>
      <c r="F9" s="122"/>
      <c r="G9" s="126" t="s">
        <v>511</v>
      </c>
      <c r="H9" s="122"/>
      <c r="I9" s="122"/>
      <c r="J9" s="126" t="s">
        <v>507</v>
      </c>
      <c r="K9" s="122"/>
      <c r="L9" s="122"/>
      <c r="M9" s="122"/>
      <c r="N9" s="122"/>
      <c r="O9" s="122"/>
      <c r="P9" s="122"/>
      <c r="Q9" s="122"/>
      <c r="R9" s="122"/>
      <c r="S9" s="122"/>
      <c r="T9" s="122"/>
      <c r="U9" s="122"/>
      <c r="V9" s="122"/>
      <c r="W9" s="122"/>
      <c r="X9" s="122"/>
      <c r="Y9" s="122"/>
      <c r="Z9" s="122"/>
      <c r="AA9" s="122"/>
      <c r="AB9" s="122"/>
      <c r="AC9" s="122"/>
      <c r="AD9" s="122"/>
      <c r="AE9" s="122"/>
      <c r="AF9" s="122"/>
      <c r="AG9" s="122"/>
      <c r="AH9" s="122"/>
      <c r="AI9" s="122"/>
      <c r="AJ9" s="122"/>
      <c r="AK9" s="124" t="s">
        <v>507</v>
      </c>
      <c r="AL9" s="122"/>
      <c r="AM9" s="122"/>
      <c r="AN9" s="122"/>
      <c r="AO9" s="122"/>
      <c r="AP9" s="124" t="s">
        <v>512</v>
      </c>
      <c r="AQ9" s="122"/>
      <c r="AR9" s="122"/>
      <c r="AS9" s="122"/>
      <c r="AT9" s="122"/>
      <c r="AU9" s="122"/>
      <c r="AV9" s="122"/>
      <c r="AW9" s="122"/>
      <c r="AX9" s="122"/>
      <c r="AY9" s="122"/>
      <c r="AZ9" s="123"/>
      <c r="BA9" s="122"/>
      <c r="BB9" s="122"/>
      <c r="BC9" s="122"/>
      <c r="BD9" s="124">
        <v>1976</v>
      </c>
      <c r="BE9" s="123"/>
    </row>
    <row r="10" spans="1:58" s="101" customFormat="1" ht="24" thickBot="1" x14ac:dyDescent="0.4">
      <c r="A10" s="97"/>
      <c r="B10" s="104" t="s">
        <v>152</v>
      </c>
      <c r="C10" s="98">
        <f>SUM(C11:C72)/4</f>
        <v>103.52</v>
      </c>
      <c r="D10" s="99">
        <f>SUM(D11:D72)/1</f>
        <v>112</v>
      </c>
      <c r="E10" s="99">
        <f>SUM(E11:E72)/1</f>
        <v>190.57999999999998</v>
      </c>
      <c r="F10" s="99">
        <f>SUM(F11:F72)/3</f>
        <v>126.68333333333334</v>
      </c>
      <c r="G10" s="99">
        <f>SUM(G11:G72)/28</f>
        <v>122.35749999999997</v>
      </c>
      <c r="H10" s="99">
        <f>SUM(H11:H72)/13</f>
        <v>118.8069230769231</v>
      </c>
      <c r="I10" s="99">
        <f>SUM(I11:I72)/1</f>
        <v>0</v>
      </c>
      <c r="J10" s="99">
        <f>SUM(J11:J72)/9</f>
        <v>148.68666666666667</v>
      </c>
      <c r="K10" s="99">
        <f>SUM(K11:K72)/1</f>
        <v>294</v>
      </c>
      <c r="L10" s="99">
        <f>SUM(L11:L72)/1</f>
        <v>0</v>
      </c>
      <c r="M10" s="99">
        <f>SUM(M11:M72)/2</f>
        <v>327.97</v>
      </c>
      <c r="N10" s="99">
        <f>SUM(N11:N72)/1</f>
        <v>0</v>
      </c>
      <c r="O10" s="99">
        <f>SUM(O11:O72)/1</f>
        <v>0</v>
      </c>
      <c r="P10" s="99">
        <f>SUM(P11:P72)/3</f>
        <v>184.79333333333332</v>
      </c>
      <c r="Q10" s="99">
        <f t="shared" ref="Q10:W10" si="0">SUM(Q11:Q72)/1</f>
        <v>0</v>
      </c>
      <c r="R10" s="99">
        <f t="shared" si="0"/>
        <v>0</v>
      </c>
      <c r="S10" s="99">
        <f t="shared" si="0"/>
        <v>101</v>
      </c>
      <c r="T10" s="99">
        <f t="shared" si="0"/>
        <v>70.05</v>
      </c>
      <c r="U10" s="99">
        <f t="shared" si="0"/>
        <v>0</v>
      </c>
      <c r="V10" s="99">
        <f t="shared" si="0"/>
        <v>160</v>
      </c>
      <c r="W10" s="99">
        <f t="shared" si="0"/>
        <v>0</v>
      </c>
      <c r="X10" s="99">
        <f>SUM(X11:X72)/2</f>
        <v>116.345</v>
      </c>
      <c r="Y10" s="99">
        <f>SUM(Y11:Y72)/4</f>
        <v>78.732500000000002</v>
      </c>
      <c r="Z10" s="99">
        <f>SUM(Z11:Z72)/3</f>
        <v>213.21333333333334</v>
      </c>
      <c r="AA10" s="99">
        <f>SUM(AA11:AA72)/9</f>
        <v>95.551111111111098</v>
      </c>
      <c r="AB10" s="99">
        <f>SUM(AB11:AB72)/14</f>
        <v>115.93857142857142</v>
      </c>
      <c r="AC10" s="99">
        <f>SUM(AC11:AC72)/2</f>
        <v>0</v>
      </c>
      <c r="AD10" s="99">
        <f>SUM(AD11:AD72)/3</f>
        <v>156.1</v>
      </c>
      <c r="AE10" s="99">
        <f>SUM(AE11:AE72)/3</f>
        <v>0</v>
      </c>
      <c r="AF10" s="99">
        <f>SUM(AF11:AF72)/2</f>
        <v>189.5</v>
      </c>
      <c r="AG10" s="99">
        <f>SUM(AG11:AG72)/8</f>
        <v>193.33375000000001</v>
      </c>
      <c r="AH10" s="99">
        <f>SUM(AH11:AH72)/4</f>
        <v>162.1</v>
      </c>
      <c r="AI10" s="99">
        <f>SUM(AI11:AI72)/1</f>
        <v>208.38</v>
      </c>
      <c r="AJ10" s="99">
        <f>SUM(AJ11:AJ72)/1</f>
        <v>0</v>
      </c>
      <c r="AK10" s="99">
        <f>SUM(AK11:AK72)/8</f>
        <v>168.81125</v>
      </c>
      <c r="AL10" s="99">
        <f>SUM(AL11:AL72)/6</f>
        <v>268.18166666666667</v>
      </c>
      <c r="AM10" s="99">
        <f>SUM(AM11:AM72)/1</f>
        <v>0</v>
      </c>
      <c r="AN10" s="99">
        <f>SUM(AN11:AN72)/1</f>
        <v>0</v>
      </c>
      <c r="AO10" s="99">
        <f>SUM(AO11:AO72)/1</f>
        <v>0</v>
      </c>
      <c r="AP10" s="99">
        <f>SUM(AP11:AP72)/1</f>
        <v>0</v>
      </c>
      <c r="AQ10" s="99">
        <f>SUM(AQ11:AQ72)/5</f>
        <v>218.32399999999998</v>
      </c>
      <c r="AR10" s="99">
        <f t="shared" ref="AR10:AW10" si="1">SUM(AR11:AR72)/1</f>
        <v>0</v>
      </c>
      <c r="AS10" s="99">
        <f t="shared" si="1"/>
        <v>0</v>
      </c>
      <c r="AT10" s="99">
        <f t="shared" si="1"/>
        <v>339.99</v>
      </c>
      <c r="AU10" s="99">
        <f t="shared" si="1"/>
        <v>0</v>
      </c>
      <c r="AV10" s="99">
        <f t="shared" si="1"/>
        <v>0</v>
      </c>
      <c r="AW10" s="99">
        <f t="shared" si="1"/>
        <v>0</v>
      </c>
      <c r="AX10" s="99">
        <f>SUM(AX11:AX72)/4</f>
        <v>93.647499999999994</v>
      </c>
      <c r="AY10" s="99">
        <f>SUM(AY11:AY72)/7</f>
        <v>176.66714285714286</v>
      </c>
      <c r="AZ10" s="100">
        <f>SUM(AZ11:AZ72)/3</f>
        <v>192.81333333333336</v>
      </c>
      <c r="BA10" s="99">
        <f>SUM(BA11:BA72)/1</f>
        <v>0</v>
      </c>
      <c r="BB10" s="99">
        <f>SUM(BB11:BB72)/2</f>
        <v>128.97499999999999</v>
      </c>
      <c r="BC10" s="99">
        <f>SUM(BC11:BC72)/4</f>
        <v>173.3</v>
      </c>
      <c r="BD10" s="99">
        <f>SUM(BD11:BD72)/3</f>
        <v>220.83333333333334</v>
      </c>
      <c r="BE10" s="100">
        <f>SUM(BE11:BE72)/1</f>
        <v>0</v>
      </c>
    </row>
    <row r="11" spans="1:58" s="81" customFormat="1" x14ac:dyDescent="0.2">
      <c r="A11" s="75"/>
      <c r="B11" s="76" t="s">
        <v>115</v>
      </c>
      <c r="C11" s="74">
        <f>SUM(99.95+39.95)</f>
        <v>139.9</v>
      </c>
      <c r="D11" s="77">
        <f>SUM(92+20)</f>
        <v>112</v>
      </c>
      <c r="E11" s="77">
        <f>SUM(92+20)</f>
        <v>112</v>
      </c>
      <c r="F11" s="77">
        <f>SUM(89.99+37.5)</f>
        <v>127.49</v>
      </c>
      <c r="G11" s="78">
        <f>SUM(49.99+50)</f>
        <v>99.990000000000009</v>
      </c>
      <c r="H11" s="79">
        <v>200</v>
      </c>
      <c r="I11" s="79" t="s">
        <v>304</v>
      </c>
      <c r="J11" s="79">
        <f>SUM(175+27)</f>
        <v>202</v>
      </c>
      <c r="K11" s="79">
        <f>SUM(249+45)</f>
        <v>294</v>
      </c>
      <c r="L11" s="79" t="s">
        <v>304</v>
      </c>
      <c r="M11" s="79">
        <f>SUM(390+39)</f>
        <v>429</v>
      </c>
      <c r="N11" s="79" t="s">
        <v>304</v>
      </c>
      <c r="O11" s="79" t="s">
        <v>304</v>
      </c>
      <c r="P11" s="79">
        <f>SUM(185.38+25.51)</f>
        <v>210.89</v>
      </c>
      <c r="Q11" s="79"/>
      <c r="R11" s="79"/>
      <c r="S11" s="79">
        <f>SUM(61+40)</f>
        <v>101</v>
      </c>
      <c r="T11" s="79">
        <f>SUM(57+13.05)</f>
        <v>70.05</v>
      </c>
      <c r="U11" s="79" t="s">
        <v>304</v>
      </c>
      <c r="V11" s="79">
        <f>SUM(90+70)</f>
        <v>160</v>
      </c>
      <c r="W11" s="79" t="s">
        <v>304</v>
      </c>
      <c r="X11" s="79">
        <v>125</v>
      </c>
      <c r="Y11" s="79">
        <f>SUM(32+35+2)</f>
        <v>69</v>
      </c>
      <c r="Z11" s="79">
        <f>SUM(39.88+30)</f>
        <v>69.88</v>
      </c>
      <c r="AA11" s="79">
        <v>100</v>
      </c>
      <c r="AB11" s="79">
        <v>100</v>
      </c>
      <c r="AC11" s="79" t="s">
        <v>304</v>
      </c>
      <c r="AD11" s="79">
        <f>SUM(140*1.07)</f>
        <v>149.80000000000001</v>
      </c>
      <c r="AE11" s="79" t="s">
        <v>304</v>
      </c>
      <c r="AF11" s="79">
        <v>275</v>
      </c>
      <c r="AG11" s="79">
        <f>SUM(149.95+19.95)</f>
        <v>169.89999999999998</v>
      </c>
      <c r="AH11" s="79">
        <v>125</v>
      </c>
      <c r="AI11" s="79">
        <f>SUM(168.49+39.89)</f>
        <v>208.38</v>
      </c>
      <c r="AJ11" s="79"/>
      <c r="AK11" s="79">
        <v>175</v>
      </c>
      <c r="AL11" s="79">
        <f>SUM(202.5+25)</f>
        <v>227.5</v>
      </c>
      <c r="AM11" s="79" t="s">
        <v>304</v>
      </c>
      <c r="AN11" s="79" t="s">
        <v>304</v>
      </c>
      <c r="AO11" s="79" t="s">
        <v>304</v>
      </c>
      <c r="AP11" s="79" t="s">
        <v>304</v>
      </c>
      <c r="AQ11" s="79">
        <v>185</v>
      </c>
      <c r="AR11" s="79" t="s">
        <v>304</v>
      </c>
      <c r="AS11" s="79" t="s">
        <v>304</v>
      </c>
      <c r="AT11" s="79">
        <f>SUM(299.99+40)</f>
        <v>339.99</v>
      </c>
      <c r="AU11" s="79" t="s">
        <v>304</v>
      </c>
      <c r="AV11" s="79" t="s">
        <v>304</v>
      </c>
      <c r="AW11" s="79" t="s">
        <v>304</v>
      </c>
      <c r="AX11" s="79">
        <f>SUM(61+11.73)</f>
        <v>72.73</v>
      </c>
      <c r="AY11" s="79">
        <f>SUM(79+39.5)</f>
        <v>118.5</v>
      </c>
      <c r="AZ11" s="80">
        <f>SUM(150)</f>
        <v>150</v>
      </c>
      <c r="BA11" s="79" t="s">
        <v>304</v>
      </c>
      <c r="BB11" s="79">
        <f>SUM(100+38)</f>
        <v>138</v>
      </c>
      <c r="BC11" s="79">
        <f>SUM(195+22.7)</f>
        <v>217.7</v>
      </c>
      <c r="BD11" s="79">
        <f>SUM(207.5+30)</f>
        <v>237.5</v>
      </c>
      <c r="BE11" s="80" t="s">
        <v>304</v>
      </c>
    </row>
    <row r="12" spans="1:58" s="81" customFormat="1" ht="39" thickBot="1" x14ac:dyDescent="0.25">
      <c r="A12" s="75"/>
      <c r="B12" s="82" t="s">
        <v>166</v>
      </c>
      <c r="C12" s="83" t="s">
        <v>373</v>
      </c>
      <c r="D12" s="84" t="s">
        <v>343</v>
      </c>
      <c r="E12" s="84" t="s">
        <v>343</v>
      </c>
      <c r="F12" s="84" t="s">
        <v>177</v>
      </c>
      <c r="G12" s="85" t="s">
        <v>375</v>
      </c>
      <c r="H12" s="86" t="s">
        <v>286</v>
      </c>
      <c r="I12" s="86"/>
      <c r="J12" s="86" t="s">
        <v>172</v>
      </c>
      <c r="K12" s="86" t="s">
        <v>510</v>
      </c>
      <c r="L12" s="86"/>
      <c r="M12" s="86" t="s">
        <v>186</v>
      </c>
      <c r="N12" s="86"/>
      <c r="O12" s="86"/>
      <c r="P12" s="86" t="s">
        <v>216</v>
      </c>
      <c r="Q12" s="86"/>
      <c r="R12" s="86"/>
      <c r="S12" s="86" t="s">
        <v>479</v>
      </c>
      <c r="T12" s="86" t="s">
        <v>326</v>
      </c>
      <c r="U12" s="86"/>
      <c r="V12" s="86" t="s">
        <v>252</v>
      </c>
      <c r="W12" s="86"/>
      <c r="X12" s="86" t="s">
        <v>286</v>
      </c>
      <c r="Y12" s="86" t="s">
        <v>277</v>
      </c>
      <c r="Z12" s="86" t="s">
        <v>185</v>
      </c>
      <c r="AA12" s="86" t="s">
        <v>181</v>
      </c>
      <c r="AB12" s="86" t="s">
        <v>181</v>
      </c>
      <c r="AC12" s="86"/>
      <c r="AD12" s="87" t="s">
        <v>228</v>
      </c>
      <c r="AE12" s="86"/>
      <c r="AF12" s="86" t="s">
        <v>181</v>
      </c>
      <c r="AG12" s="86" t="s">
        <v>220</v>
      </c>
      <c r="AH12" s="86" t="s">
        <v>181</v>
      </c>
      <c r="AI12" s="86" t="s">
        <v>316</v>
      </c>
      <c r="AJ12" s="86" t="s">
        <v>478</v>
      </c>
      <c r="AK12" s="86" t="s">
        <v>299</v>
      </c>
      <c r="AL12" s="86" t="s">
        <v>254</v>
      </c>
      <c r="AM12" s="86"/>
      <c r="AN12" s="86"/>
      <c r="AO12" s="86"/>
      <c r="AP12" s="86"/>
      <c r="AQ12" s="86" t="s">
        <v>181</v>
      </c>
      <c r="AR12" s="86"/>
      <c r="AS12" s="86"/>
      <c r="AT12" s="86" t="s">
        <v>262</v>
      </c>
      <c r="AU12" s="86"/>
      <c r="AV12" s="86"/>
      <c r="AW12" s="86"/>
      <c r="AX12" s="86" t="s">
        <v>212</v>
      </c>
      <c r="AY12" s="86" t="s">
        <v>211</v>
      </c>
      <c r="AZ12" s="88" t="s">
        <v>171</v>
      </c>
      <c r="BA12" s="86"/>
      <c r="BB12" s="86" t="s">
        <v>246</v>
      </c>
      <c r="BC12" s="86" t="s">
        <v>221</v>
      </c>
      <c r="BD12" s="86" t="s">
        <v>187</v>
      </c>
      <c r="BE12" s="88"/>
    </row>
    <row r="13" spans="1:58" s="81" customFormat="1" x14ac:dyDescent="0.2">
      <c r="A13" s="75"/>
      <c r="B13" s="89" t="s">
        <v>116</v>
      </c>
      <c r="C13" s="77">
        <f>SUM(56+14.48)</f>
        <v>70.48</v>
      </c>
      <c r="D13" s="77"/>
      <c r="E13" s="77">
        <f>SUM(49.99+28.59)</f>
        <v>78.58</v>
      </c>
      <c r="F13" s="77">
        <f>SUM(100+40)</f>
        <v>140</v>
      </c>
      <c r="G13" s="78">
        <f>SUM(169.95+24.95)</f>
        <v>194.89999999999998</v>
      </c>
      <c r="H13" s="79">
        <v>80</v>
      </c>
      <c r="I13" s="79"/>
      <c r="J13" s="79">
        <f>SUM(175+16.94)</f>
        <v>191.94</v>
      </c>
      <c r="K13" s="79"/>
      <c r="L13" s="79"/>
      <c r="M13" s="79">
        <f>SUM(215.5+11.44)</f>
        <v>226.94</v>
      </c>
      <c r="N13" s="79"/>
      <c r="O13" s="79"/>
      <c r="P13" s="90">
        <f>SUM(89.99+24.5)</f>
        <v>114.49</v>
      </c>
      <c r="Q13" s="79"/>
      <c r="R13" s="79"/>
      <c r="S13" s="79"/>
      <c r="T13" s="79"/>
      <c r="U13" s="79"/>
      <c r="V13" s="79"/>
      <c r="W13" s="79"/>
      <c r="X13" s="79">
        <f>SUM(79.69+28)</f>
        <v>107.69</v>
      </c>
      <c r="Y13" s="79">
        <f>SUM(45.44+35+2)</f>
        <v>82.44</v>
      </c>
      <c r="Z13" s="79">
        <f>SUM(116+43.99)</f>
        <v>159.99</v>
      </c>
      <c r="AA13" s="79">
        <v>125</v>
      </c>
      <c r="AB13" s="79">
        <v>150</v>
      </c>
      <c r="AC13" s="79"/>
      <c r="AD13" s="79">
        <f>SUM(128.5+25)</f>
        <v>153.5</v>
      </c>
      <c r="AE13" s="79"/>
      <c r="AF13" s="79">
        <f>SUM(75+29)</f>
        <v>104</v>
      </c>
      <c r="AG13" s="79">
        <f>SUM(111.38+28.5)</f>
        <v>139.88</v>
      </c>
      <c r="AH13" s="79">
        <v>179.91</v>
      </c>
      <c r="AI13" s="79"/>
      <c r="AJ13" s="79"/>
      <c r="AK13" s="92">
        <f>SUM(190+20.87)</f>
        <v>210.87</v>
      </c>
      <c r="AL13" s="92">
        <f>SUM(380+45)</f>
        <v>425</v>
      </c>
      <c r="AM13" s="79"/>
      <c r="AN13" s="79"/>
      <c r="AO13" s="79"/>
      <c r="AP13" s="79"/>
      <c r="AQ13" s="79">
        <f>SUM(160+23.37)</f>
        <v>183.37</v>
      </c>
      <c r="AR13" s="79"/>
      <c r="AS13" s="79"/>
      <c r="AT13" s="79"/>
      <c r="AU13" s="79"/>
      <c r="AV13" s="79"/>
      <c r="AW13" s="79"/>
      <c r="AX13" s="79">
        <f>SUM(54+15.3)</f>
        <v>69.3</v>
      </c>
      <c r="AY13" s="79">
        <f>SUM(172.5+30)</f>
        <v>202.5</v>
      </c>
      <c r="AZ13" s="80">
        <f>SUM(129.5+23.94)</f>
        <v>153.44</v>
      </c>
      <c r="BA13" s="79"/>
      <c r="BB13" s="79">
        <f>SUM(100+19.95)</f>
        <v>119.95</v>
      </c>
      <c r="BC13" s="79">
        <f>SUM(129+24)</f>
        <v>153</v>
      </c>
      <c r="BD13" s="79">
        <f>SUM(195+30)</f>
        <v>225</v>
      </c>
      <c r="BE13" s="80"/>
    </row>
    <row r="14" spans="1:58" s="81" customFormat="1" ht="26.25" thickBot="1" x14ac:dyDescent="0.25">
      <c r="A14" s="75"/>
      <c r="B14" s="82" t="s">
        <v>166</v>
      </c>
      <c r="C14" s="84" t="s">
        <v>287</v>
      </c>
      <c r="D14" s="84"/>
      <c r="E14" s="84" t="s">
        <v>374</v>
      </c>
      <c r="F14" s="84" t="s">
        <v>264</v>
      </c>
      <c r="G14" s="85" t="s">
        <v>380</v>
      </c>
      <c r="H14" s="86" t="s">
        <v>286</v>
      </c>
      <c r="I14" s="86"/>
      <c r="J14" s="86" t="s">
        <v>335</v>
      </c>
      <c r="K14" s="86"/>
      <c r="L14" s="86"/>
      <c r="M14" s="86" t="s">
        <v>312</v>
      </c>
      <c r="N14" s="86"/>
      <c r="O14" s="86"/>
      <c r="P14" s="91" t="s">
        <v>233</v>
      </c>
      <c r="Q14" s="86"/>
      <c r="R14" s="86"/>
      <c r="S14" s="86"/>
      <c r="T14" s="86"/>
      <c r="U14" s="86"/>
      <c r="V14" s="86"/>
      <c r="W14" s="86"/>
      <c r="X14" s="86" t="s">
        <v>259</v>
      </c>
      <c r="Y14" s="86" t="s">
        <v>284</v>
      </c>
      <c r="Z14" s="86" t="s">
        <v>189</v>
      </c>
      <c r="AA14" s="86" t="s">
        <v>181</v>
      </c>
      <c r="AB14" s="86" t="s">
        <v>181</v>
      </c>
      <c r="AC14" s="86"/>
      <c r="AD14" s="86" t="s">
        <v>289</v>
      </c>
      <c r="AE14" s="86"/>
      <c r="AF14" s="86" t="s">
        <v>480</v>
      </c>
      <c r="AG14" s="86" t="s">
        <v>222</v>
      </c>
      <c r="AH14" s="86" t="s">
        <v>181</v>
      </c>
      <c r="AI14" s="86"/>
      <c r="AJ14" s="86"/>
      <c r="AK14" s="93" t="s">
        <v>167</v>
      </c>
      <c r="AL14" s="93" t="s">
        <v>307</v>
      </c>
      <c r="AM14" s="86"/>
      <c r="AN14" s="86"/>
      <c r="AO14" s="86"/>
      <c r="AP14" s="86"/>
      <c r="AQ14" s="86" t="s">
        <v>255</v>
      </c>
      <c r="AR14" s="86"/>
      <c r="AS14" s="86"/>
      <c r="AT14" s="86"/>
      <c r="AU14" s="86"/>
      <c r="AV14" s="86"/>
      <c r="AW14" s="86"/>
      <c r="AX14" s="86" t="s">
        <v>215</v>
      </c>
      <c r="AY14" s="86" t="s">
        <v>278</v>
      </c>
      <c r="AZ14" s="88" t="s">
        <v>223</v>
      </c>
      <c r="BA14" s="86"/>
      <c r="BB14" s="86" t="s">
        <v>381</v>
      </c>
      <c r="BC14" s="86" t="s">
        <v>245</v>
      </c>
      <c r="BD14" s="86" t="s">
        <v>191</v>
      </c>
      <c r="BE14" s="88"/>
    </row>
    <row r="15" spans="1:58" s="81" customFormat="1" x14ac:dyDescent="0.2">
      <c r="A15" s="75"/>
      <c r="B15" s="89" t="s">
        <v>117</v>
      </c>
      <c r="C15" s="77">
        <f>SUM(88+15.7)</f>
        <v>103.7</v>
      </c>
      <c r="D15" s="77"/>
      <c r="E15" s="77"/>
      <c r="F15" s="77">
        <f>SUM(89.99+22.57)</f>
        <v>112.56</v>
      </c>
      <c r="G15" s="78">
        <f>SUM(49+40)</f>
        <v>89</v>
      </c>
      <c r="H15" s="92">
        <v>220</v>
      </c>
      <c r="I15" s="79"/>
      <c r="J15" s="79">
        <f>SUM(112.5+30)</f>
        <v>142.5</v>
      </c>
      <c r="K15" s="79"/>
      <c r="L15" s="79"/>
      <c r="M15" s="79"/>
      <c r="N15" s="79"/>
      <c r="O15" s="79"/>
      <c r="P15" s="92">
        <f>SUM(229+0)</f>
        <v>229</v>
      </c>
      <c r="Q15" s="79"/>
      <c r="R15" s="79"/>
      <c r="S15" s="79"/>
      <c r="T15" s="79"/>
      <c r="U15" s="79"/>
      <c r="V15" s="79"/>
      <c r="W15" s="79"/>
      <c r="X15" s="79"/>
      <c r="Y15" s="79">
        <f>SUM(99.99+0)</f>
        <v>99.99</v>
      </c>
      <c r="Z15" s="79">
        <f>SUM(78.77+35)</f>
        <v>113.77</v>
      </c>
      <c r="AA15" s="79">
        <v>125</v>
      </c>
      <c r="AB15" s="79">
        <f>SUM(51+25)</f>
        <v>76</v>
      </c>
      <c r="AC15" s="79"/>
      <c r="AD15" s="79">
        <f>SUM(165+0)</f>
        <v>165</v>
      </c>
      <c r="AE15" s="79"/>
      <c r="AF15" s="79"/>
      <c r="AG15" s="90">
        <f>SUM(99+16)</f>
        <v>115</v>
      </c>
      <c r="AH15" s="79">
        <f>SUM(159.99+35)</f>
        <v>194.99</v>
      </c>
      <c r="AI15" s="79"/>
      <c r="AJ15" s="79"/>
      <c r="AK15" s="79">
        <f>SUM(121+45.66)</f>
        <v>166.66</v>
      </c>
      <c r="AL15" s="79">
        <f>SUM(225+35.01)</f>
        <v>260.01</v>
      </c>
      <c r="AM15" s="79"/>
      <c r="AN15" s="79"/>
      <c r="AO15" s="79"/>
      <c r="AP15" s="79"/>
      <c r="AQ15" s="79">
        <f>SUM(152.5+40)</f>
        <v>192.5</v>
      </c>
      <c r="AR15" s="79"/>
      <c r="AS15" s="79"/>
      <c r="AT15" s="79"/>
      <c r="AU15" s="79"/>
      <c r="AV15" s="79"/>
      <c r="AW15" s="79"/>
      <c r="AX15" s="79">
        <f>SUM(100+29.99)</f>
        <v>129.99</v>
      </c>
      <c r="AY15" s="90">
        <f>SUM(52.59+45.95)</f>
        <v>98.54</v>
      </c>
      <c r="AZ15" s="80">
        <f>SUM(275+0)</f>
        <v>275</v>
      </c>
      <c r="BA15" s="79"/>
      <c r="BB15" s="79"/>
      <c r="BC15" s="79">
        <f>SUM(102.5+40)</f>
        <v>142.5</v>
      </c>
      <c r="BD15" s="79">
        <v>200</v>
      </c>
      <c r="BE15" s="80"/>
    </row>
    <row r="16" spans="1:58" s="81" customFormat="1" ht="26.25" thickBot="1" x14ac:dyDescent="0.25">
      <c r="A16" s="75"/>
      <c r="B16" s="82" t="s">
        <v>166</v>
      </c>
      <c r="C16" s="84" t="s">
        <v>295</v>
      </c>
      <c r="D16" s="84"/>
      <c r="E16" s="84"/>
      <c r="F16" s="84" t="s">
        <v>502</v>
      </c>
      <c r="G16" s="85" t="s">
        <v>387</v>
      </c>
      <c r="H16" s="93" t="s">
        <v>286</v>
      </c>
      <c r="I16" s="86"/>
      <c r="J16" s="86" t="s">
        <v>361</v>
      </c>
      <c r="K16" s="86"/>
      <c r="L16" s="86"/>
      <c r="M16" s="86"/>
      <c r="N16" s="86"/>
      <c r="O16" s="86"/>
      <c r="P16" s="93" t="s">
        <v>237</v>
      </c>
      <c r="Q16" s="86"/>
      <c r="R16" s="86"/>
      <c r="S16" s="86"/>
      <c r="T16" s="86"/>
      <c r="U16" s="86"/>
      <c r="V16" s="86"/>
      <c r="W16" s="86"/>
      <c r="X16" s="86"/>
      <c r="Y16" s="86" t="s">
        <v>319</v>
      </c>
      <c r="Z16" s="86" t="s">
        <v>293</v>
      </c>
      <c r="AA16" s="86" t="s">
        <v>181</v>
      </c>
      <c r="AB16" s="86" t="s">
        <v>217</v>
      </c>
      <c r="AC16" s="86"/>
      <c r="AD16" s="86" t="s">
        <v>364</v>
      </c>
      <c r="AE16" s="86"/>
      <c r="AF16" s="86"/>
      <c r="AG16" s="91" t="s">
        <v>236</v>
      </c>
      <c r="AH16" s="86" t="s">
        <v>218</v>
      </c>
      <c r="AI16" s="86"/>
      <c r="AJ16" s="86"/>
      <c r="AK16" s="86" t="s">
        <v>250</v>
      </c>
      <c r="AL16" s="86" t="s">
        <v>318</v>
      </c>
      <c r="AM16" s="86"/>
      <c r="AN16" s="86"/>
      <c r="AO16" s="86"/>
      <c r="AP16" s="86"/>
      <c r="AQ16" s="86" t="s">
        <v>279</v>
      </c>
      <c r="AR16" s="86"/>
      <c r="AS16" s="86"/>
      <c r="AT16" s="86"/>
      <c r="AU16" s="86"/>
      <c r="AV16" s="86"/>
      <c r="AW16" s="86"/>
      <c r="AX16" s="86" t="s">
        <v>296</v>
      </c>
      <c r="AY16" s="91" t="s">
        <v>282</v>
      </c>
      <c r="AZ16" s="88" t="s">
        <v>336</v>
      </c>
      <c r="BA16" s="86"/>
      <c r="BB16" s="86"/>
      <c r="BC16" s="86" t="s">
        <v>283</v>
      </c>
      <c r="BD16" s="86" t="s">
        <v>351</v>
      </c>
      <c r="BE16" s="88"/>
    </row>
    <row r="17" spans="1:57" s="81" customFormat="1" x14ac:dyDescent="0.2">
      <c r="A17" s="75"/>
      <c r="B17" s="76" t="s">
        <v>118</v>
      </c>
      <c r="C17" s="77">
        <f>SUM(100+0)</f>
        <v>100</v>
      </c>
      <c r="D17" s="77"/>
      <c r="E17" s="77"/>
      <c r="F17" s="77"/>
      <c r="G17" s="79">
        <f>SUM(81+19.75)</f>
        <v>100.75</v>
      </c>
      <c r="H17" s="79">
        <f>SUM(73.5+16.89)</f>
        <v>90.39</v>
      </c>
      <c r="I17" s="79"/>
      <c r="J17" s="79">
        <f>SUM(31+40)</f>
        <v>71</v>
      </c>
      <c r="K17" s="79"/>
      <c r="L17" s="79"/>
      <c r="M17" s="79"/>
      <c r="N17" s="79"/>
      <c r="O17" s="79"/>
      <c r="P17" s="79"/>
      <c r="Q17" s="79"/>
      <c r="R17" s="79"/>
      <c r="S17" s="79"/>
      <c r="T17" s="79"/>
      <c r="U17" s="79"/>
      <c r="V17" s="79"/>
      <c r="W17" s="79"/>
      <c r="X17" s="79"/>
      <c r="Y17" s="79">
        <f>SUM(17.95+45.55)</f>
        <v>63.5</v>
      </c>
      <c r="Z17" s="79">
        <f>SUM(271+25)</f>
        <v>296</v>
      </c>
      <c r="AA17" s="79">
        <f>SUM(99.99+20)</f>
        <v>119.99</v>
      </c>
      <c r="AB17" s="79">
        <f>SUM(68+16.9)</f>
        <v>84.9</v>
      </c>
      <c r="AC17" s="79"/>
      <c r="AD17" s="79"/>
      <c r="AE17" s="79"/>
      <c r="AF17" s="79"/>
      <c r="AG17" s="79">
        <f>SUM(200+28)</f>
        <v>228</v>
      </c>
      <c r="AH17" s="79">
        <f>SUM(103.5+45)</f>
        <v>148.5</v>
      </c>
      <c r="AI17" s="79"/>
      <c r="AJ17" s="79"/>
      <c r="AK17" s="79">
        <f>SUM(146.5+20)</f>
        <v>166.5</v>
      </c>
      <c r="AL17" s="79">
        <f>SUM(176.5+25.51)</f>
        <v>202.01</v>
      </c>
      <c r="AM17" s="79"/>
      <c r="AN17" s="79"/>
      <c r="AO17" s="79"/>
      <c r="AP17" s="79"/>
      <c r="AQ17" s="79">
        <f>SUM(225+35)</f>
        <v>260</v>
      </c>
      <c r="AR17" s="79"/>
      <c r="AS17" s="79"/>
      <c r="AT17" s="79"/>
      <c r="AU17" s="79"/>
      <c r="AV17" s="79"/>
      <c r="AW17" s="79"/>
      <c r="AX17" s="79">
        <f>SUM(80+22.57)</f>
        <v>102.57</v>
      </c>
      <c r="AY17" s="79">
        <f>SUM(177.5+50)</f>
        <v>227.5</v>
      </c>
      <c r="AZ17" s="80"/>
      <c r="BA17" s="79"/>
      <c r="BB17" s="79"/>
      <c r="BC17" s="79">
        <f>SUM(180+0)</f>
        <v>180</v>
      </c>
      <c r="BD17" s="79"/>
      <c r="BE17" s="80"/>
    </row>
    <row r="18" spans="1:57" s="81" customFormat="1" ht="26.25" thickBot="1" x14ac:dyDescent="0.25">
      <c r="A18" s="75"/>
      <c r="B18" s="82" t="s">
        <v>166</v>
      </c>
      <c r="C18" s="84" t="s">
        <v>379</v>
      </c>
      <c r="D18" s="84"/>
      <c r="E18" s="84"/>
      <c r="F18" s="84"/>
      <c r="G18" s="86" t="s">
        <v>173</v>
      </c>
      <c r="H18" s="86" t="s">
        <v>175</v>
      </c>
      <c r="I18" s="86"/>
      <c r="J18" s="86" t="s">
        <v>288</v>
      </c>
      <c r="K18" s="86"/>
      <c r="L18" s="86"/>
      <c r="M18" s="86"/>
      <c r="N18" s="86"/>
      <c r="O18" s="86"/>
      <c r="P18" s="86"/>
      <c r="Q18" s="86"/>
      <c r="R18" s="86"/>
      <c r="S18" s="86"/>
      <c r="T18" s="86"/>
      <c r="U18" s="86"/>
      <c r="V18" s="86"/>
      <c r="W18" s="86"/>
      <c r="X18" s="86"/>
      <c r="Y18" s="86" t="s">
        <v>322</v>
      </c>
      <c r="Z18" s="86" t="s">
        <v>331</v>
      </c>
      <c r="AA18" s="86" t="s">
        <v>263</v>
      </c>
      <c r="AB18" s="86" t="s">
        <v>219</v>
      </c>
      <c r="AC18" s="86"/>
      <c r="AD18" s="86"/>
      <c r="AE18" s="86"/>
      <c r="AF18" s="86"/>
      <c r="AG18" s="86" t="s">
        <v>238</v>
      </c>
      <c r="AH18" s="86" t="s">
        <v>218</v>
      </c>
      <c r="AI18" s="86"/>
      <c r="AJ18" s="86"/>
      <c r="AK18" s="86" t="s">
        <v>298</v>
      </c>
      <c r="AL18" s="86" t="s">
        <v>320</v>
      </c>
      <c r="AM18" s="86"/>
      <c r="AN18" s="86"/>
      <c r="AO18" s="86"/>
      <c r="AP18" s="86"/>
      <c r="AQ18" s="86" t="s">
        <v>333</v>
      </c>
      <c r="AR18" s="86"/>
      <c r="AS18" s="86"/>
      <c r="AT18" s="86"/>
      <c r="AU18" s="86"/>
      <c r="AV18" s="86"/>
      <c r="AW18" s="86"/>
      <c r="AX18" s="86" t="s">
        <v>499</v>
      </c>
      <c r="AY18" s="86" t="s">
        <v>317</v>
      </c>
      <c r="AZ18" s="88"/>
      <c r="BA18" s="86"/>
      <c r="BB18" s="86"/>
      <c r="BC18" s="86" t="s">
        <v>363</v>
      </c>
      <c r="BD18" s="86"/>
      <c r="BE18" s="88"/>
    </row>
    <row r="19" spans="1:57" s="81" customFormat="1" x14ac:dyDescent="0.2">
      <c r="A19" s="75"/>
      <c r="B19" s="76" t="s">
        <v>119</v>
      </c>
      <c r="C19" s="77"/>
      <c r="D19" s="77"/>
      <c r="E19" s="77"/>
      <c r="F19" s="77"/>
      <c r="G19" s="79">
        <f>SUM(55.88+17.17)</f>
        <v>73.050000000000011</v>
      </c>
      <c r="H19" s="94">
        <f>SUM(65+3)</f>
        <v>68</v>
      </c>
      <c r="I19" s="79"/>
      <c r="J19" s="79">
        <f>SUM(61.01+24.99)</f>
        <v>86</v>
      </c>
      <c r="K19" s="79"/>
      <c r="L19" s="79"/>
      <c r="M19" s="79"/>
      <c r="N19" s="79"/>
      <c r="O19" s="79"/>
      <c r="P19" s="79"/>
      <c r="Q19" s="79"/>
      <c r="R19" s="79"/>
      <c r="S19" s="79"/>
      <c r="T19" s="79"/>
      <c r="U19" s="79"/>
      <c r="V19" s="79"/>
      <c r="W19" s="79"/>
      <c r="X19" s="79"/>
      <c r="Y19" s="79"/>
      <c r="Z19" s="79"/>
      <c r="AA19" s="90">
        <f>SUM(31+0)</f>
        <v>31</v>
      </c>
      <c r="AB19" s="79">
        <f>SUM(69.95+25)</f>
        <v>94.95</v>
      </c>
      <c r="AC19" s="79"/>
      <c r="AD19" s="79"/>
      <c r="AE19" s="79"/>
      <c r="AF19" s="79"/>
      <c r="AG19" s="79">
        <f>SUM(250+30)</f>
        <v>280</v>
      </c>
      <c r="AH19" s="79"/>
      <c r="AI19" s="79"/>
      <c r="AJ19" s="79"/>
      <c r="AK19" s="111">
        <f>SUM(104.5+25)</f>
        <v>129.5</v>
      </c>
      <c r="AL19" s="79">
        <f>SUM(302+45)</f>
        <v>347</v>
      </c>
      <c r="AM19" s="79"/>
      <c r="AN19" s="79"/>
      <c r="AO19" s="79"/>
      <c r="AP19" s="79"/>
      <c r="AQ19" s="79">
        <f>SUM(249.99+20.76)</f>
        <v>270.75</v>
      </c>
      <c r="AR19" s="79"/>
      <c r="AS19" s="79"/>
      <c r="AT19" s="79"/>
      <c r="AU19" s="79"/>
      <c r="AV19" s="79"/>
      <c r="AW19" s="79"/>
      <c r="AX19" s="79"/>
      <c r="AY19" s="79">
        <f>SUM(155.99+20)</f>
        <v>175.99</v>
      </c>
      <c r="AZ19" s="80"/>
      <c r="BA19" s="79"/>
      <c r="BB19" s="79"/>
      <c r="BC19" s="79"/>
      <c r="BD19" s="79"/>
      <c r="BE19" s="80"/>
    </row>
    <row r="20" spans="1:57" s="81" customFormat="1" ht="26.25" thickBot="1" x14ac:dyDescent="0.25">
      <c r="A20" s="75"/>
      <c r="B20" s="82" t="s">
        <v>166</v>
      </c>
      <c r="C20" s="84"/>
      <c r="D20" s="84"/>
      <c r="E20" s="84"/>
      <c r="F20" s="84"/>
      <c r="G20" s="86" t="s">
        <v>174</v>
      </c>
      <c r="H20" s="95" t="s">
        <v>183</v>
      </c>
      <c r="I20" s="86"/>
      <c r="J20" s="86" t="s">
        <v>290</v>
      </c>
      <c r="K20" s="86"/>
      <c r="L20" s="86"/>
      <c r="M20" s="86"/>
      <c r="N20" s="86"/>
      <c r="O20" s="86"/>
      <c r="P20" s="86"/>
      <c r="Q20" s="86"/>
      <c r="R20" s="86"/>
      <c r="S20" s="86"/>
      <c r="T20" s="86"/>
      <c r="U20" s="86"/>
      <c r="V20" s="86"/>
      <c r="W20" s="86"/>
      <c r="X20" s="86"/>
      <c r="Y20" s="86"/>
      <c r="Z20" s="86"/>
      <c r="AA20" s="91" t="s">
        <v>308</v>
      </c>
      <c r="AB20" s="86" t="s">
        <v>230</v>
      </c>
      <c r="AC20" s="86"/>
      <c r="AD20" s="86"/>
      <c r="AE20" s="86"/>
      <c r="AF20" s="86"/>
      <c r="AG20" s="86" t="s">
        <v>239</v>
      </c>
      <c r="AH20" s="86"/>
      <c r="AI20" s="86"/>
      <c r="AJ20" s="86"/>
      <c r="AK20" s="112" t="s">
        <v>315</v>
      </c>
      <c r="AL20" s="86" t="s">
        <v>327</v>
      </c>
      <c r="AM20" s="86"/>
      <c r="AN20" s="86"/>
      <c r="AO20" s="86"/>
      <c r="AP20" s="86"/>
      <c r="AQ20" s="86" t="s">
        <v>366</v>
      </c>
      <c r="AR20" s="86"/>
      <c r="AS20" s="86"/>
      <c r="AT20" s="86"/>
      <c r="AU20" s="86"/>
      <c r="AV20" s="86"/>
      <c r="AW20" s="86"/>
      <c r="AX20" s="86"/>
      <c r="AY20" s="86" t="s">
        <v>330</v>
      </c>
      <c r="AZ20" s="88"/>
      <c r="BA20" s="86"/>
      <c r="BB20" s="86"/>
      <c r="BC20" s="86"/>
      <c r="BD20" s="86"/>
      <c r="BE20" s="88"/>
    </row>
    <row r="21" spans="1:57" s="81" customFormat="1" ht="30" customHeight="1" x14ac:dyDescent="0.2">
      <c r="A21" s="75"/>
      <c r="B21" s="76" t="s">
        <v>120</v>
      </c>
      <c r="C21" s="77"/>
      <c r="D21" s="77"/>
      <c r="E21" s="77"/>
      <c r="F21" s="77"/>
      <c r="G21" s="79">
        <f>SUM(25+19.99)</f>
        <v>44.989999999999995</v>
      </c>
      <c r="H21" s="79">
        <f>SUM(80+16)</f>
        <v>96</v>
      </c>
      <c r="I21" s="79"/>
      <c r="J21" s="92">
        <f>SUM(228.11+27.64)</f>
        <v>255.75</v>
      </c>
      <c r="K21" s="79"/>
      <c r="L21" s="79"/>
      <c r="M21" s="79"/>
      <c r="N21" s="79"/>
      <c r="O21" s="79"/>
      <c r="P21" s="79"/>
      <c r="Q21" s="79"/>
      <c r="R21" s="79"/>
      <c r="S21" s="79"/>
      <c r="T21" s="79"/>
      <c r="U21" s="79"/>
      <c r="V21" s="79"/>
      <c r="W21" s="79"/>
      <c r="X21" s="79"/>
      <c r="Y21" s="79"/>
      <c r="Z21" s="79"/>
      <c r="AA21" s="79">
        <f>SUM(105.5+20)</f>
        <v>125.5</v>
      </c>
      <c r="AB21" s="79">
        <f>SUM(125+32)</f>
        <v>157</v>
      </c>
      <c r="AC21" s="79"/>
      <c r="AD21" s="79"/>
      <c r="AE21" s="79"/>
      <c r="AF21" s="79"/>
      <c r="AG21" s="92">
        <f>SUM(275+45)</f>
        <v>320</v>
      </c>
      <c r="AH21" s="79"/>
      <c r="AI21" s="79"/>
      <c r="AJ21" s="79"/>
      <c r="AK21" s="79">
        <f>SUM(134.99+39.99)</f>
        <v>174.98000000000002</v>
      </c>
      <c r="AL21" s="111">
        <f>SUM(125+22.57)</f>
        <v>147.57</v>
      </c>
      <c r="AM21" s="79"/>
      <c r="AN21" s="79"/>
      <c r="AO21" s="79"/>
      <c r="AP21" s="79"/>
      <c r="AQ21" s="79"/>
      <c r="AR21" s="79"/>
      <c r="AS21" s="79"/>
      <c r="AT21" s="79"/>
      <c r="AU21" s="79"/>
      <c r="AV21" s="79"/>
      <c r="AW21" s="79"/>
      <c r="AX21" s="79"/>
      <c r="AY21" s="79">
        <f>SUM(136.15+35)</f>
        <v>171.15</v>
      </c>
      <c r="AZ21" s="80"/>
      <c r="BA21" s="79"/>
      <c r="BB21" s="79"/>
      <c r="BC21" s="79"/>
      <c r="BD21" s="79"/>
      <c r="BE21" s="80"/>
    </row>
    <row r="22" spans="1:57" s="81" customFormat="1" ht="37.5" customHeight="1" thickBot="1" x14ac:dyDescent="0.25">
      <c r="A22" s="75"/>
      <c r="B22" s="82" t="s">
        <v>166</v>
      </c>
      <c r="C22" s="84"/>
      <c r="D22" s="84"/>
      <c r="E22" s="84"/>
      <c r="F22" s="84"/>
      <c r="G22" s="86" t="s">
        <v>176</v>
      </c>
      <c r="H22" s="86" t="s">
        <v>190</v>
      </c>
      <c r="I22" s="86"/>
      <c r="J22" s="93" t="s">
        <v>311</v>
      </c>
      <c r="K22" s="86"/>
      <c r="L22" s="86"/>
      <c r="M22" s="86"/>
      <c r="N22" s="86"/>
      <c r="O22" s="86"/>
      <c r="P22" s="86"/>
      <c r="Q22" s="86"/>
      <c r="R22" s="86"/>
      <c r="S22" s="86"/>
      <c r="T22" s="86"/>
      <c r="U22" s="86"/>
      <c r="V22" s="86"/>
      <c r="W22" s="86"/>
      <c r="X22" s="86"/>
      <c r="Y22" s="86"/>
      <c r="Z22" s="86"/>
      <c r="AA22" s="86" t="s">
        <v>347</v>
      </c>
      <c r="AB22" s="86" t="s">
        <v>235</v>
      </c>
      <c r="AC22" s="86"/>
      <c r="AD22" s="86"/>
      <c r="AE22" s="86"/>
      <c r="AF22" s="86"/>
      <c r="AG22" s="93" t="s">
        <v>337</v>
      </c>
      <c r="AH22" s="86"/>
      <c r="AI22" s="86"/>
      <c r="AJ22" s="86"/>
      <c r="AK22" s="86" t="s">
        <v>477</v>
      </c>
      <c r="AL22" s="112" t="s">
        <v>501</v>
      </c>
      <c r="AM22" s="86"/>
      <c r="AN22" s="86"/>
      <c r="AO22" s="86"/>
      <c r="AP22" s="86"/>
      <c r="AQ22" s="86"/>
      <c r="AR22" s="86"/>
      <c r="AS22" s="86"/>
      <c r="AT22" s="86"/>
      <c r="AU22" s="86"/>
      <c r="AV22" s="86"/>
      <c r="AW22" s="86"/>
      <c r="AX22" s="86"/>
      <c r="AY22" s="86" t="s">
        <v>378</v>
      </c>
      <c r="AZ22" s="88"/>
      <c r="BA22" s="86"/>
      <c r="BB22" s="86"/>
      <c r="BC22" s="86"/>
      <c r="BD22" s="86"/>
      <c r="BE22" s="88"/>
    </row>
    <row r="23" spans="1:57" s="81" customFormat="1" x14ac:dyDescent="0.2">
      <c r="A23" s="75"/>
      <c r="B23" s="76" t="s">
        <v>121</v>
      </c>
      <c r="C23" s="77"/>
      <c r="D23" s="77"/>
      <c r="E23" s="77"/>
      <c r="F23" s="77"/>
      <c r="G23" s="79">
        <f>SUM(86+38)</f>
        <v>124</v>
      </c>
      <c r="H23" s="79">
        <f>SUM(50+35)</f>
        <v>85</v>
      </c>
      <c r="I23" s="79"/>
      <c r="J23" s="90">
        <f>SUM(51+15)</f>
        <v>66</v>
      </c>
      <c r="K23" s="79"/>
      <c r="L23" s="79"/>
      <c r="M23" s="79"/>
      <c r="N23" s="79"/>
      <c r="O23" s="79"/>
      <c r="P23" s="79"/>
      <c r="Q23" s="79"/>
      <c r="R23" s="79"/>
      <c r="S23" s="79"/>
      <c r="T23" s="79"/>
      <c r="U23" s="79"/>
      <c r="V23" s="79"/>
      <c r="W23" s="79"/>
      <c r="X23" s="79"/>
      <c r="Y23" s="79"/>
      <c r="Z23" s="79"/>
      <c r="AA23" s="79">
        <f>SUM(75+22.57)</f>
        <v>97.57</v>
      </c>
      <c r="AB23" s="79">
        <f>SUM(99.99+39.5)</f>
        <v>139.49</v>
      </c>
      <c r="AC23" s="79"/>
      <c r="AD23" s="79"/>
      <c r="AE23" s="79"/>
      <c r="AF23" s="79"/>
      <c r="AG23" s="79">
        <f>SUM(98+48)</f>
        <v>146</v>
      </c>
      <c r="AH23" s="79"/>
      <c r="AI23" s="79"/>
      <c r="AJ23" s="79"/>
      <c r="AK23" s="79">
        <f>SUM(134.99+39.99)</f>
        <v>174.98000000000002</v>
      </c>
      <c r="AL23" s="79"/>
      <c r="AM23" s="79"/>
      <c r="AN23" s="79"/>
      <c r="AO23" s="79"/>
      <c r="AP23" s="79"/>
      <c r="AQ23" s="79"/>
      <c r="AR23" s="79"/>
      <c r="AS23" s="79"/>
      <c r="AT23" s="79"/>
      <c r="AU23" s="79"/>
      <c r="AV23" s="79"/>
      <c r="AW23" s="79"/>
      <c r="AX23" s="79"/>
      <c r="AY23" s="92">
        <f>SUM(217.5+24.99)</f>
        <v>242.49</v>
      </c>
      <c r="AZ23" s="80"/>
      <c r="BA23" s="79"/>
      <c r="BB23" s="79"/>
      <c r="BC23" s="79"/>
      <c r="BD23" s="79"/>
      <c r="BE23" s="80"/>
    </row>
    <row r="24" spans="1:57" s="81" customFormat="1" ht="26.25" thickBot="1" x14ac:dyDescent="0.25">
      <c r="A24" s="75"/>
      <c r="B24" s="82" t="s">
        <v>166</v>
      </c>
      <c r="C24" s="84"/>
      <c r="D24" s="84"/>
      <c r="E24" s="84"/>
      <c r="F24" s="84"/>
      <c r="G24" s="86" t="s">
        <v>178</v>
      </c>
      <c r="H24" s="86" t="s">
        <v>231</v>
      </c>
      <c r="I24" s="86"/>
      <c r="J24" s="91" t="s">
        <v>313</v>
      </c>
      <c r="K24" s="86"/>
      <c r="L24" s="86"/>
      <c r="M24" s="86"/>
      <c r="N24" s="86"/>
      <c r="O24" s="86"/>
      <c r="P24" s="86"/>
      <c r="Q24" s="86"/>
      <c r="R24" s="86"/>
      <c r="S24" s="86"/>
      <c r="T24" s="86"/>
      <c r="U24" s="86"/>
      <c r="V24" s="86"/>
      <c r="W24" s="86"/>
      <c r="X24" s="86"/>
      <c r="Y24" s="86"/>
      <c r="Z24" s="86"/>
      <c r="AA24" s="86" t="s">
        <v>500</v>
      </c>
      <c r="AB24" s="86" t="s">
        <v>249</v>
      </c>
      <c r="AC24" s="86"/>
      <c r="AD24" s="86"/>
      <c r="AE24" s="86"/>
      <c r="AF24" s="86"/>
      <c r="AG24" s="86" t="s">
        <v>350</v>
      </c>
      <c r="AH24" s="86"/>
      <c r="AI24" s="86"/>
      <c r="AJ24" s="86"/>
      <c r="AK24" s="86" t="s">
        <v>496</v>
      </c>
      <c r="AL24" s="86"/>
      <c r="AM24" s="86"/>
      <c r="AN24" s="86"/>
      <c r="AO24" s="86"/>
      <c r="AP24" s="86"/>
      <c r="AQ24" s="86"/>
      <c r="AR24" s="86"/>
      <c r="AS24" s="86"/>
      <c r="AT24" s="86"/>
      <c r="AU24" s="86"/>
      <c r="AV24" s="86"/>
      <c r="AW24" s="86"/>
      <c r="AX24" s="86"/>
      <c r="AY24" s="93" t="s">
        <v>481</v>
      </c>
      <c r="AZ24" s="88"/>
      <c r="BA24" s="86"/>
      <c r="BB24" s="86"/>
      <c r="BC24" s="86"/>
      <c r="BD24" s="86"/>
      <c r="BE24" s="88"/>
    </row>
    <row r="25" spans="1:57" s="81" customFormat="1" x14ac:dyDescent="0.2">
      <c r="A25" s="75"/>
      <c r="B25" s="76" t="s">
        <v>122</v>
      </c>
      <c r="C25" s="77"/>
      <c r="D25" s="77"/>
      <c r="E25" s="77"/>
      <c r="F25" s="77"/>
      <c r="G25" s="79">
        <f>SUM(79.99+19.99)</f>
        <v>99.97999999999999</v>
      </c>
      <c r="H25" s="79">
        <f>SUM(25.99+55)</f>
        <v>80.989999999999995</v>
      </c>
      <c r="I25" s="79"/>
      <c r="J25" s="79">
        <f>SUM(200+0)</f>
        <v>200</v>
      </c>
      <c r="K25" s="79"/>
      <c r="L25" s="79"/>
      <c r="M25" s="79"/>
      <c r="N25" s="79"/>
      <c r="O25" s="79"/>
      <c r="P25" s="79"/>
      <c r="Q25" s="79"/>
      <c r="R25" s="79"/>
      <c r="S25" s="79"/>
      <c r="T25" s="79"/>
      <c r="U25" s="79"/>
      <c r="V25" s="79"/>
      <c r="W25" s="79"/>
      <c r="X25" s="79"/>
      <c r="Y25" s="79"/>
      <c r="Z25" s="79"/>
      <c r="AA25" s="79">
        <f>SUM(56+9.99)</f>
        <v>65.989999999999995</v>
      </c>
      <c r="AB25" s="92">
        <f>SUM(149.99+29.99)</f>
        <v>179.98000000000002</v>
      </c>
      <c r="AC25" s="79"/>
      <c r="AD25" s="79"/>
      <c r="AE25" s="79"/>
      <c r="AF25" s="79"/>
      <c r="AG25" s="79">
        <f>SUM(125+22.89)</f>
        <v>147.88999999999999</v>
      </c>
      <c r="AH25" s="79"/>
      <c r="AI25" s="79"/>
      <c r="AJ25" s="79"/>
      <c r="AK25" s="79">
        <f>SUM(120+32)</f>
        <v>152</v>
      </c>
      <c r="AL25" s="79"/>
      <c r="AM25" s="79"/>
      <c r="AN25" s="79"/>
      <c r="AO25" s="79"/>
      <c r="AP25" s="79"/>
      <c r="AQ25" s="79"/>
      <c r="AR25" s="79"/>
      <c r="AS25" s="79"/>
      <c r="AT25" s="79"/>
      <c r="AU25" s="79"/>
      <c r="AV25" s="79"/>
      <c r="AW25" s="79"/>
      <c r="AX25" s="79"/>
      <c r="AY25" s="79"/>
      <c r="AZ25" s="80"/>
      <c r="BA25" s="79"/>
      <c r="BB25" s="79"/>
      <c r="BC25" s="79"/>
      <c r="BD25" s="79"/>
      <c r="BE25" s="80"/>
    </row>
    <row r="26" spans="1:57" s="81" customFormat="1" ht="26.25" thickBot="1" x14ac:dyDescent="0.25">
      <c r="A26" s="75"/>
      <c r="B26" s="82" t="s">
        <v>166</v>
      </c>
      <c r="C26" s="84"/>
      <c r="D26" s="84"/>
      <c r="E26" s="84"/>
      <c r="F26" s="84"/>
      <c r="G26" s="86" t="s">
        <v>184</v>
      </c>
      <c r="H26" s="86" t="s">
        <v>232</v>
      </c>
      <c r="I26" s="86"/>
      <c r="J26" s="86" t="s">
        <v>382</v>
      </c>
      <c r="K26" s="86"/>
      <c r="L26" s="86"/>
      <c r="M26" s="86"/>
      <c r="N26" s="86"/>
      <c r="O26" s="86"/>
      <c r="P26" s="86"/>
      <c r="Q26" s="86"/>
      <c r="R26" s="86"/>
      <c r="S26" s="86"/>
      <c r="T26" s="86"/>
      <c r="U26" s="86"/>
      <c r="V26" s="86"/>
      <c r="W26" s="86"/>
      <c r="X26" s="86"/>
      <c r="Y26" s="86"/>
      <c r="Z26" s="86"/>
      <c r="AA26" s="86" t="s">
        <v>614</v>
      </c>
      <c r="AB26" s="93" t="s">
        <v>281</v>
      </c>
      <c r="AC26" s="86"/>
      <c r="AD26" s="86"/>
      <c r="AE26" s="86"/>
      <c r="AF26" s="86"/>
      <c r="AG26" s="86" t="s">
        <v>513</v>
      </c>
      <c r="AH26" s="86"/>
      <c r="AI26" s="86"/>
      <c r="AJ26" s="86"/>
      <c r="AK26" s="86" t="s">
        <v>504</v>
      </c>
      <c r="AL26" s="86"/>
      <c r="AM26" s="86"/>
      <c r="AN26" s="86"/>
      <c r="AO26" s="86"/>
      <c r="AP26" s="86"/>
      <c r="AQ26" s="86"/>
      <c r="AR26" s="86"/>
      <c r="AS26" s="86"/>
      <c r="AT26" s="86"/>
      <c r="AU26" s="86"/>
      <c r="AV26" s="86"/>
      <c r="AW26" s="86"/>
      <c r="AX26" s="86"/>
      <c r="AY26" s="86"/>
      <c r="AZ26" s="88"/>
      <c r="BA26" s="86"/>
      <c r="BB26" s="86"/>
      <c r="BC26" s="86"/>
      <c r="BD26" s="86"/>
      <c r="BE26" s="88"/>
    </row>
    <row r="27" spans="1:57" s="81" customFormat="1" x14ac:dyDescent="0.2">
      <c r="A27" s="75"/>
      <c r="B27" s="76" t="s">
        <v>123</v>
      </c>
      <c r="C27" s="77"/>
      <c r="D27" s="77"/>
      <c r="E27" s="77"/>
      <c r="F27" s="77"/>
      <c r="G27" s="90">
        <f>SUM(44.77+0)</f>
        <v>44.77</v>
      </c>
      <c r="H27" s="79">
        <f>SUM(135+0)</f>
        <v>135</v>
      </c>
      <c r="I27" s="79"/>
      <c r="J27" s="79">
        <f>SUM(73+49.99)</f>
        <v>122.99000000000001</v>
      </c>
      <c r="K27" s="79"/>
      <c r="L27" s="79"/>
      <c r="M27" s="79"/>
      <c r="N27" s="79"/>
      <c r="O27" s="79"/>
      <c r="P27" s="79"/>
      <c r="Q27" s="79"/>
      <c r="R27" s="79"/>
      <c r="S27" s="79"/>
      <c r="T27" s="79"/>
      <c r="U27" s="79"/>
      <c r="V27" s="79"/>
      <c r="W27" s="79"/>
      <c r="X27" s="79"/>
      <c r="Y27" s="79"/>
      <c r="Z27" s="79"/>
      <c r="AA27" s="79">
        <f>SUM(56*1.07+9.99)</f>
        <v>69.91</v>
      </c>
      <c r="AB27" s="79">
        <f>SUM(54.33+15)</f>
        <v>69.33</v>
      </c>
      <c r="AC27" s="79"/>
      <c r="AD27" s="79"/>
      <c r="AE27" s="79"/>
      <c r="AF27" s="79"/>
      <c r="AG27" s="79"/>
      <c r="AH27" s="79"/>
      <c r="AI27" s="79"/>
      <c r="AJ27" s="79"/>
      <c r="AK27" s="79"/>
      <c r="AL27" s="79"/>
      <c r="AM27" s="79"/>
      <c r="AN27" s="79"/>
      <c r="AO27" s="79"/>
      <c r="AP27" s="79"/>
      <c r="AQ27" s="79"/>
      <c r="AR27" s="79"/>
      <c r="AS27" s="79"/>
      <c r="AT27" s="79"/>
      <c r="AU27" s="79"/>
      <c r="AV27" s="79"/>
      <c r="AW27" s="79"/>
      <c r="AX27" s="79"/>
      <c r="AY27" s="79"/>
      <c r="AZ27" s="80"/>
      <c r="BA27" s="79"/>
      <c r="BB27" s="79"/>
      <c r="BC27" s="79"/>
      <c r="BD27" s="79"/>
      <c r="BE27" s="80"/>
    </row>
    <row r="28" spans="1:57" s="81" customFormat="1" ht="26.25" thickBot="1" x14ac:dyDescent="0.25">
      <c r="A28" s="75"/>
      <c r="B28" s="82" t="s">
        <v>166</v>
      </c>
      <c r="C28" s="84"/>
      <c r="D28" s="84"/>
      <c r="E28" s="84"/>
      <c r="F28" s="84"/>
      <c r="G28" s="91" t="s">
        <v>234</v>
      </c>
      <c r="H28" s="86" t="s">
        <v>248</v>
      </c>
      <c r="I28" s="86"/>
      <c r="J28" s="86" t="s">
        <v>385</v>
      </c>
      <c r="K28" s="86"/>
      <c r="L28" s="86"/>
      <c r="M28" s="86"/>
      <c r="N28" s="86"/>
      <c r="O28" s="86"/>
      <c r="P28" s="86"/>
      <c r="Q28" s="86"/>
      <c r="R28" s="86"/>
      <c r="S28" s="86"/>
      <c r="T28" s="86"/>
      <c r="U28" s="86"/>
      <c r="V28" s="86"/>
      <c r="W28" s="86"/>
      <c r="X28" s="86"/>
      <c r="Y28" s="86"/>
      <c r="Z28" s="86"/>
      <c r="AA28" s="86" t="s">
        <v>614</v>
      </c>
      <c r="AB28" s="86" t="s">
        <v>291</v>
      </c>
      <c r="AC28" s="86"/>
      <c r="AD28" s="86"/>
      <c r="AE28" s="86"/>
      <c r="AF28" s="86"/>
      <c r="AG28" s="86"/>
      <c r="AH28" s="86"/>
      <c r="AI28" s="86"/>
      <c r="AJ28" s="86"/>
      <c r="AK28" s="86"/>
      <c r="AL28" s="86"/>
      <c r="AM28" s="86"/>
      <c r="AN28" s="86"/>
      <c r="AO28" s="86"/>
      <c r="AP28" s="86"/>
      <c r="AQ28" s="86"/>
      <c r="AR28" s="86"/>
      <c r="AS28" s="86"/>
      <c r="AT28" s="86"/>
      <c r="AU28" s="86"/>
      <c r="AV28" s="86"/>
      <c r="AW28" s="86"/>
      <c r="AX28" s="86"/>
      <c r="AY28" s="86"/>
      <c r="AZ28" s="88"/>
      <c r="BA28" s="86"/>
      <c r="BB28" s="86"/>
      <c r="BC28" s="86"/>
      <c r="BD28" s="86"/>
      <c r="BE28" s="88"/>
    </row>
    <row r="29" spans="1:57" s="81" customFormat="1" x14ac:dyDescent="0.2">
      <c r="A29" s="75"/>
      <c r="B29" s="76" t="s">
        <v>124</v>
      </c>
      <c r="C29" s="77"/>
      <c r="D29" s="77"/>
      <c r="E29" s="77"/>
      <c r="F29" s="77"/>
      <c r="G29" s="79">
        <f>SUM(129+24.95)</f>
        <v>153.94999999999999</v>
      </c>
      <c r="H29" s="79">
        <f>SUM(82.55+45.43+5)</f>
        <v>132.97999999999999</v>
      </c>
      <c r="I29" s="79"/>
      <c r="J29" s="79"/>
      <c r="K29" s="79"/>
      <c r="L29" s="79"/>
      <c r="M29" s="79"/>
      <c r="N29" s="79"/>
      <c r="O29" s="79"/>
      <c r="P29" s="79"/>
      <c r="Q29" s="79"/>
      <c r="R29" s="79"/>
      <c r="S29" s="79"/>
      <c r="T29" s="79"/>
      <c r="U29" s="79"/>
      <c r="V29" s="79"/>
      <c r="W29" s="79"/>
      <c r="X29" s="79"/>
      <c r="Y29" s="79"/>
      <c r="Z29" s="79"/>
      <c r="AA29" s="79"/>
      <c r="AB29" s="90">
        <f>SUM(33+23.87+1.65)</f>
        <v>58.52</v>
      </c>
      <c r="AC29" s="79"/>
      <c r="AD29" s="79"/>
      <c r="AE29" s="79"/>
      <c r="AF29" s="79"/>
      <c r="AG29" s="79"/>
      <c r="AH29" s="79"/>
      <c r="AI29" s="79"/>
      <c r="AJ29" s="79"/>
      <c r="AK29" s="79"/>
      <c r="AL29" s="79"/>
      <c r="AM29" s="79"/>
      <c r="AN29" s="79"/>
      <c r="AO29" s="79"/>
      <c r="AP29" s="79"/>
      <c r="AQ29" s="79"/>
      <c r="AR29" s="79"/>
      <c r="AS29" s="79"/>
      <c r="AT29" s="79"/>
      <c r="AU29" s="79"/>
      <c r="AV29" s="79"/>
      <c r="AW29" s="79"/>
      <c r="AX29" s="79"/>
      <c r="AY29" s="79"/>
      <c r="AZ29" s="80"/>
      <c r="BA29" s="79"/>
      <c r="BB29" s="79"/>
      <c r="BC29" s="79"/>
      <c r="BD29" s="79"/>
      <c r="BE29" s="80"/>
    </row>
    <row r="30" spans="1:57" s="81" customFormat="1" ht="26.25" thickBot="1" x14ac:dyDescent="0.25">
      <c r="A30" s="75"/>
      <c r="B30" s="82" t="s">
        <v>166</v>
      </c>
      <c r="C30" s="84"/>
      <c r="D30" s="84"/>
      <c r="E30" s="84"/>
      <c r="F30" s="84"/>
      <c r="G30" s="86" t="s">
        <v>247</v>
      </c>
      <c r="H30" s="86" t="s">
        <v>285</v>
      </c>
      <c r="I30" s="86"/>
      <c r="J30" s="86"/>
      <c r="K30" s="86"/>
      <c r="L30" s="86"/>
      <c r="M30" s="86"/>
      <c r="N30" s="86"/>
      <c r="O30" s="86"/>
      <c r="P30" s="86"/>
      <c r="Q30" s="86"/>
      <c r="R30" s="86"/>
      <c r="S30" s="86"/>
      <c r="T30" s="86"/>
      <c r="U30" s="86"/>
      <c r="V30" s="86"/>
      <c r="W30" s="86"/>
      <c r="X30" s="86"/>
      <c r="Y30" s="86"/>
      <c r="Z30" s="86"/>
      <c r="AA30" s="86"/>
      <c r="AB30" s="91" t="s">
        <v>294</v>
      </c>
      <c r="AC30" s="86"/>
      <c r="AD30" s="86"/>
      <c r="AE30" s="86"/>
      <c r="AF30" s="86"/>
      <c r="AG30" s="86"/>
      <c r="AH30" s="86"/>
      <c r="AI30" s="86"/>
      <c r="AJ30" s="86"/>
      <c r="AK30" s="86"/>
      <c r="AL30" s="86"/>
      <c r="AM30" s="86"/>
      <c r="AN30" s="86"/>
      <c r="AO30" s="86"/>
      <c r="AP30" s="86"/>
      <c r="AQ30" s="86"/>
      <c r="AR30" s="86"/>
      <c r="AS30" s="86"/>
      <c r="AT30" s="86"/>
      <c r="AU30" s="86"/>
      <c r="AV30" s="86"/>
      <c r="AW30" s="86"/>
      <c r="AX30" s="86"/>
      <c r="AY30" s="86"/>
      <c r="AZ30" s="88"/>
      <c r="BA30" s="86"/>
      <c r="BB30" s="86"/>
      <c r="BC30" s="86"/>
      <c r="BD30" s="86"/>
      <c r="BE30" s="88"/>
    </row>
    <row r="31" spans="1:57" s="81" customFormat="1" x14ac:dyDescent="0.2">
      <c r="A31" s="75"/>
      <c r="B31" s="76" t="s">
        <v>125</v>
      </c>
      <c r="C31" s="77"/>
      <c r="D31" s="77"/>
      <c r="E31" s="77"/>
      <c r="F31" s="77"/>
      <c r="G31" s="79">
        <f>SUM(55+59.31)</f>
        <v>114.31</v>
      </c>
      <c r="H31" s="79">
        <f>SUM(76.55+16.94)</f>
        <v>93.49</v>
      </c>
      <c r="I31" s="79"/>
      <c r="J31" s="79"/>
      <c r="K31" s="79"/>
      <c r="L31" s="79"/>
      <c r="M31" s="79"/>
      <c r="N31" s="79"/>
      <c r="O31" s="79"/>
      <c r="P31" s="79"/>
      <c r="Q31" s="79"/>
      <c r="R31" s="79"/>
      <c r="S31" s="79"/>
      <c r="T31" s="79"/>
      <c r="U31" s="79"/>
      <c r="V31" s="79"/>
      <c r="W31" s="79"/>
      <c r="X31" s="79"/>
      <c r="Y31" s="79"/>
      <c r="Z31" s="79"/>
      <c r="AA31" s="79"/>
      <c r="AB31" s="79">
        <f>SUM(107.5+16.77)</f>
        <v>124.27</v>
      </c>
      <c r="AC31" s="79"/>
      <c r="AD31" s="79"/>
      <c r="AE31" s="79"/>
      <c r="AF31" s="79"/>
      <c r="AG31" s="79"/>
      <c r="AH31" s="79"/>
      <c r="AI31" s="79"/>
      <c r="AJ31" s="79"/>
      <c r="AK31" s="79"/>
      <c r="AL31" s="79"/>
      <c r="AM31" s="79"/>
      <c r="AN31" s="79"/>
      <c r="AO31" s="79"/>
      <c r="AP31" s="79"/>
      <c r="AQ31" s="79"/>
      <c r="AR31" s="79"/>
      <c r="AS31" s="79"/>
      <c r="AT31" s="79"/>
      <c r="AU31" s="79"/>
      <c r="AV31" s="79"/>
      <c r="AW31" s="79"/>
      <c r="AX31" s="79"/>
      <c r="AY31" s="79"/>
      <c r="AZ31" s="80"/>
      <c r="BA31" s="79"/>
      <c r="BB31" s="79"/>
      <c r="BC31" s="79"/>
      <c r="BD31" s="79"/>
      <c r="BE31" s="80"/>
    </row>
    <row r="32" spans="1:57" s="81" customFormat="1" ht="26.25" thickBot="1" x14ac:dyDescent="0.25">
      <c r="A32" s="75"/>
      <c r="B32" s="82" t="s">
        <v>166</v>
      </c>
      <c r="C32" s="84"/>
      <c r="D32" s="84"/>
      <c r="E32" s="84"/>
      <c r="F32" s="84"/>
      <c r="G32" s="86" t="s">
        <v>256</v>
      </c>
      <c r="H32" s="86" t="s">
        <v>300</v>
      </c>
      <c r="I32" s="86"/>
      <c r="J32" s="86"/>
      <c r="K32" s="86"/>
      <c r="L32" s="86"/>
      <c r="M32" s="86"/>
      <c r="N32" s="86"/>
      <c r="O32" s="86"/>
      <c r="P32" s="86"/>
      <c r="Q32" s="86"/>
      <c r="R32" s="86"/>
      <c r="S32" s="86"/>
      <c r="T32" s="86"/>
      <c r="U32" s="86"/>
      <c r="V32" s="86"/>
      <c r="W32" s="86"/>
      <c r="X32" s="86"/>
      <c r="Y32" s="86"/>
      <c r="Z32" s="86"/>
      <c r="AA32" s="86"/>
      <c r="AB32" s="86" t="s">
        <v>323</v>
      </c>
      <c r="AC32" s="86"/>
      <c r="AD32" s="86"/>
      <c r="AE32" s="86"/>
      <c r="AF32" s="86"/>
      <c r="AG32" s="86"/>
      <c r="AH32" s="86"/>
      <c r="AI32" s="86"/>
      <c r="AJ32" s="86"/>
      <c r="AK32" s="86"/>
      <c r="AL32" s="86"/>
      <c r="AM32" s="86"/>
      <c r="AN32" s="86"/>
      <c r="AO32" s="86"/>
      <c r="AP32" s="86"/>
      <c r="AQ32" s="86"/>
      <c r="AR32" s="86"/>
      <c r="AS32" s="86"/>
      <c r="AT32" s="86"/>
      <c r="AU32" s="86"/>
      <c r="AV32" s="86"/>
      <c r="AW32" s="86"/>
      <c r="AX32" s="86"/>
      <c r="AY32" s="86"/>
      <c r="AZ32" s="88"/>
      <c r="BA32" s="86"/>
      <c r="BB32" s="86"/>
      <c r="BC32" s="86"/>
      <c r="BD32" s="86"/>
      <c r="BE32" s="88"/>
    </row>
    <row r="33" spans="1:57" s="81" customFormat="1" x14ac:dyDescent="0.2">
      <c r="A33" s="75"/>
      <c r="B33" s="76" t="s">
        <v>126</v>
      </c>
      <c r="C33" s="77"/>
      <c r="D33" s="77"/>
      <c r="E33" s="77"/>
      <c r="F33" s="77"/>
      <c r="G33" s="79">
        <f>SUM(76+20.59)</f>
        <v>96.59</v>
      </c>
      <c r="H33" s="79">
        <f>SUM(111.87+38.87+2)</f>
        <v>152.74</v>
      </c>
      <c r="I33" s="79"/>
      <c r="J33" s="79"/>
      <c r="K33" s="79"/>
      <c r="L33" s="79"/>
      <c r="M33" s="79"/>
      <c r="N33" s="79"/>
      <c r="O33" s="79"/>
      <c r="P33" s="79"/>
      <c r="Q33" s="79"/>
      <c r="R33" s="79"/>
      <c r="S33" s="79"/>
      <c r="T33" s="79"/>
      <c r="U33" s="79"/>
      <c r="V33" s="79"/>
      <c r="W33" s="79"/>
      <c r="X33" s="79"/>
      <c r="Y33" s="79"/>
      <c r="Z33" s="79"/>
      <c r="AA33" s="79"/>
      <c r="AB33" s="79">
        <f>SUM(108.5+46.2)</f>
        <v>154.69999999999999</v>
      </c>
      <c r="AC33" s="79"/>
      <c r="AD33" s="79"/>
      <c r="AE33" s="79"/>
      <c r="AF33" s="79"/>
      <c r="AG33" s="79"/>
      <c r="AH33" s="79"/>
      <c r="AI33" s="79"/>
      <c r="AJ33" s="79"/>
      <c r="AK33" s="79"/>
      <c r="AL33" s="79"/>
      <c r="AM33" s="79"/>
      <c r="AN33" s="79"/>
      <c r="AO33" s="79"/>
      <c r="AP33" s="79"/>
      <c r="AQ33" s="79"/>
      <c r="AR33" s="79"/>
      <c r="AS33" s="79"/>
      <c r="AT33" s="79"/>
      <c r="AU33" s="79"/>
      <c r="AV33" s="79"/>
      <c r="AW33" s="79"/>
      <c r="AX33" s="79"/>
      <c r="AY33" s="79"/>
      <c r="AZ33" s="80"/>
      <c r="BA33" s="79"/>
      <c r="BB33" s="79"/>
      <c r="BC33" s="79"/>
      <c r="BD33" s="79"/>
      <c r="BE33" s="80"/>
    </row>
    <row r="34" spans="1:57" s="81" customFormat="1" ht="25.5" customHeight="1" thickBot="1" x14ac:dyDescent="0.25">
      <c r="A34" s="75"/>
      <c r="B34" s="82" t="s">
        <v>166</v>
      </c>
      <c r="C34" s="84"/>
      <c r="D34" s="84"/>
      <c r="E34" s="84"/>
      <c r="F34" s="84"/>
      <c r="G34" s="86" t="s">
        <v>260</v>
      </c>
      <c r="H34" s="86" t="s">
        <v>340</v>
      </c>
      <c r="I34" s="86"/>
      <c r="J34" s="86"/>
      <c r="K34" s="86"/>
      <c r="L34" s="86"/>
      <c r="M34" s="86"/>
      <c r="N34" s="86"/>
      <c r="O34" s="86"/>
      <c r="P34" s="86"/>
      <c r="Q34" s="86"/>
      <c r="R34" s="86"/>
      <c r="S34" s="86"/>
      <c r="T34" s="86"/>
      <c r="U34" s="86"/>
      <c r="V34" s="86"/>
      <c r="W34" s="86"/>
      <c r="X34" s="86"/>
      <c r="Y34" s="86"/>
      <c r="Z34" s="86"/>
      <c r="AA34" s="86"/>
      <c r="AB34" s="86" t="s">
        <v>362</v>
      </c>
      <c r="AC34" s="86"/>
      <c r="AD34" s="86"/>
      <c r="AE34" s="86"/>
      <c r="AF34" s="86"/>
      <c r="AG34" s="86"/>
      <c r="AH34" s="86"/>
      <c r="AI34" s="86"/>
      <c r="AJ34" s="86"/>
      <c r="AK34" s="86"/>
      <c r="AL34" s="86"/>
      <c r="AM34" s="86"/>
      <c r="AN34" s="86"/>
      <c r="AO34" s="86"/>
      <c r="AP34" s="86"/>
      <c r="AQ34" s="86"/>
      <c r="AR34" s="86"/>
      <c r="AS34" s="86"/>
      <c r="AT34" s="86"/>
      <c r="AU34" s="86"/>
      <c r="AV34" s="86"/>
      <c r="AW34" s="86"/>
      <c r="AX34" s="86"/>
      <c r="AY34" s="86"/>
      <c r="AZ34" s="88"/>
      <c r="BA34" s="86"/>
      <c r="BB34" s="86"/>
      <c r="BC34" s="86"/>
      <c r="BD34" s="86"/>
      <c r="BE34" s="88"/>
    </row>
    <row r="35" spans="1:57" s="81" customFormat="1" ht="25.5" customHeight="1" x14ac:dyDescent="0.2">
      <c r="A35" s="75"/>
      <c r="B35" s="76" t="s">
        <v>127</v>
      </c>
      <c r="C35" s="77"/>
      <c r="D35" s="77"/>
      <c r="E35" s="77"/>
      <c r="F35" s="77"/>
      <c r="G35" s="92">
        <f>SUM(245+15.43)</f>
        <v>260.43</v>
      </c>
      <c r="H35" s="79">
        <f>SUM(99.95+9.95)</f>
        <v>109.9</v>
      </c>
      <c r="I35" s="79"/>
      <c r="J35" s="79"/>
      <c r="K35" s="79"/>
      <c r="L35" s="79"/>
      <c r="M35" s="79"/>
      <c r="N35" s="79"/>
      <c r="O35" s="79"/>
      <c r="P35" s="79"/>
      <c r="Q35" s="79"/>
      <c r="R35" s="79"/>
      <c r="S35" s="79"/>
      <c r="T35" s="79"/>
      <c r="U35" s="79"/>
      <c r="V35" s="79"/>
      <c r="W35" s="79"/>
      <c r="X35" s="79"/>
      <c r="Y35" s="79"/>
      <c r="Z35" s="79"/>
      <c r="AA35" s="79"/>
      <c r="AB35" s="79">
        <f>SUM(100+0)</f>
        <v>100</v>
      </c>
      <c r="AC35" s="79"/>
      <c r="AD35" s="79"/>
      <c r="AE35" s="79"/>
      <c r="AF35" s="79"/>
      <c r="AG35" s="79"/>
      <c r="AH35" s="79"/>
      <c r="AI35" s="79"/>
      <c r="AJ35" s="79"/>
      <c r="AK35" s="79"/>
      <c r="AL35" s="79"/>
      <c r="AM35" s="79"/>
      <c r="AN35" s="79"/>
      <c r="AO35" s="79"/>
      <c r="AP35" s="79"/>
      <c r="AQ35" s="79"/>
      <c r="AR35" s="79"/>
      <c r="AS35" s="79"/>
      <c r="AT35" s="79"/>
      <c r="AU35" s="79"/>
      <c r="AV35" s="79"/>
      <c r="AW35" s="79"/>
      <c r="AX35" s="79"/>
      <c r="AY35" s="79"/>
      <c r="AZ35" s="80"/>
      <c r="BA35" s="79"/>
      <c r="BB35" s="79"/>
      <c r="BC35" s="79"/>
      <c r="BD35" s="79"/>
      <c r="BE35" s="80"/>
    </row>
    <row r="36" spans="1:57" s="81" customFormat="1" ht="26.25" thickBot="1" x14ac:dyDescent="0.25">
      <c r="A36" s="75"/>
      <c r="B36" s="82" t="s">
        <v>166</v>
      </c>
      <c r="C36" s="84"/>
      <c r="D36" s="84"/>
      <c r="E36" s="84"/>
      <c r="F36" s="84"/>
      <c r="G36" s="93" t="s">
        <v>280</v>
      </c>
      <c r="H36" s="86" t="s">
        <v>365</v>
      </c>
      <c r="I36" s="86"/>
      <c r="J36" s="86"/>
      <c r="K36" s="86"/>
      <c r="L36" s="86"/>
      <c r="M36" s="86"/>
      <c r="N36" s="86"/>
      <c r="O36" s="86"/>
      <c r="P36" s="86"/>
      <c r="Q36" s="86"/>
      <c r="R36" s="86"/>
      <c r="S36" s="86"/>
      <c r="T36" s="86"/>
      <c r="U36" s="86"/>
      <c r="V36" s="86"/>
      <c r="W36" s="86"/>
      <c r="X36" s="86"/>
      <c r="Y36" s="86"/>
      <c r="Z36" s="86"/>
      <c r="AA36" s="86"/>
      <c r="AB36" s="86" t="s">
        <v>384</v>
      </c>
      <c r="AC36" s="86"/>
      <c r="AD36" s="86"/>
      <c r="AE36" s="86"/>
      <c r="AF36" s="86"/>
      <c r="AG36" s="86"/>
      <c r="AH36" s="86"/>
      <c r="AI36" s="86"/>
      <c r="AJ36" s="86"/>
      <c r="AK36" s="86"/>
      <c r="AL36" s="86"/>
      <c r="AM36" s="86"/>
      <c r="AN36" s="86"/>
      <c r="AO36" s="86"/>
      <c r="AP36" s="86"/>
      <c r="AQ36" s="86"/>
      <c r="AR36" s="86"/>
      <c r="AS36" s="86"/>
      <c r="AT36" s="86"/>
      <c r="AU36" s="86"/>
      <c r="AV36" s="86"/>
      <c r="AW36" s="86"/>
      <c r="AX36" s="86"/>
      <c r="AY36" s="86"/>
      <c r="AZ36" s="88"/>
      <c r="BA36" s="86"/>
      <c r="BB36" s="86"/>
      <c r="BC36" s="86"/>
      <c r="BD36" s="86"/>
      <c r="BE36" s="88"/>
    </row>
    <row r="37" spans="1:57" s="81" customFormat="1" x14ac:dyDescent="0.2">
      <c r="A37" s="75"/>
      <c r="B37" s="76" t="s">
        <v>128</v>
      </c>
      <c r="C37" s="77"/>
      <c r="D37" s="77"/>
      <c r="E37" s="77"/>
      <c r="F37" s="77"/>
      <c r="G37" s="79">
        <f>SUM(64.99+17.65)</f>
        <v>82.639999999999986</v>
      </c>
      <c r="H37" s="79"/>
      <c r="I37" s="79"/>
      <c r="J37" s="79"/>
      <c r="K37" s="79"/>
      <c r="L37" s="79"/>
      <c r="M37" s="79"/>
      <c r="N37" s="79"/>
      <c r="O37" s="79"/>
      <c r="P37" s="79"/>
      <c r="Q37" s="79"/>
      <c r="R37" s="79"/>
      <c r="S37" s="79"/>
      <c r="T37" s="79"/>
      <c r="U37" s="79"/>
      <c r="V37" s="79"/>
      <c r="W37" s="79"/>
      <c r="X37" s="79"/>
      <c r="Y37" s="79"/>
      <c r="Z37" s="79"/>
      <c r="AA37" s="79"/>
      <c r="AB37" s="79">
        <f>SUM(99+35)</f>
        <v>134</v>
      </c>
      <c r="AC37" s="79"/>
      <c r="AD37" s="79"/>
      <c r="AE37" s="79"/>
      <c r="AF37" s="79"/>
      <c r="AG37" s="79"/>
      <c r="AH37" s="79"/>
      <c r="AI37" s="79"/>
      <c r="AJ37" s="79"/>
      <c r="AK37" s="79"/>
      <c r="AL37" s="79"/>
      <c r="AM37" s="79"/>
      <c r="AN37" s="79"/>
      <c r="AO37" s="79"/>
      <c r="AP37" s="79"/>
      <c r="AQ37" s="79"/>
      <c r="AR37" s="79"/>
      <c r="AS37" s="79"/>
      <c r="AT37" s="79"/>
      <c r="AU37" s="79"/>
      <c r="AV37" s="79"/>
      <c r="AW37" s="79"/>
      <c r="AX37" s="79"/>
      <c r="AY37" s="79"/>
      <c r="AZ37" s="80"/>
      <c r="BA37" s="79"/>
      <c r="BB37" s="79"/>
      <c r="BC37" s="79"/>
      <c r="BD37" s="79"/>
      <c r="BE37" s="80"/>
    </row>
    <row r="38" spans="1:57" s="81" customFormat="1" ht="26.25" thickBot="1" x14ac:dyDescent="0.25">
      <c r="A38" s="75"/>
      <c r="B38" s="82" t="s">
        <v>166</v>
      </c>
      <c r="C38" s="84"/>
      <c r="D38" s="84"/>
      <c r="E38" s="84"/>
      <c r="F38" s="84"/>
      <c r="G38" s="86" t="s">
        <v>292</v>
      </c>
      <c r="H38" s="86"/>
      <c r="I38" s="86"/>
      <c r="J38" s="86"/>
      <c r="K38" s="86"/>
      <c r="L38" s="86"/>
      <c r="M38" s="86"/>
      <c r="N38" s="86"/>
      <c r="O38" s="86"/>
      <c r="P38" s="86"/>
      <c r="Q38" s="86"/>
      <c r="R38" s="86"/>
      <c r="S38" s="86"/>
      <c r="T38" s="86"/>
      <c r="U38" s="86"/>
      <c r="V38" s="86"/>
      <c r="W38" s="86"/>
      <c r="X38" s="86"/>
      <c r="Y38" s="86"/>
      <c r="Z38" s="86"/>
      <c r="AA38" s="86"/>
      <c r="AB38" s="86" t="s">
        <v>482</v>
      </c>
      <c r="AC38" s="86"/>
      <c r="AD38" s="86"/>
      <c r="AE38" s="86"/>
      <c r="AF38" s="86"/>
      <c r="AG38" s="86"/>
      <c r="AH38" s="86"/>
      <c r="AI38" s="86"/>
      <c r="AJ38" s="86"/>
      <c r="AK38" s="86"/>
      <c r="AL38" s="86"/>
      <c r="AM38" s="86"/>
      <c r="AN38" s="86"/>
      <c r="AO38" s="86"/>
      <c r="AP38" s="86"/>
      <c r="AQ38" s="86"/>
      <c r="AR38" s="86"/>
      <c r="AS38" s="86"/>
      <c r="AT38" s="86"/>
      <c r="AU38" s="86"/>
      <c r="AV38" s="86"/>
      <c r="AW38" s="86"/>
      <c r="AX38" s="86"/>
      <c r="AY38" s="86"/>
      <c r="AZ38" s="88"/>
      <c r="BA38" s="86"/>
      <c r="BB38" s="86"/>
      <c r="BC38" s="86"/>
      <c r="BD38" s="86"/>
      <c r="BE38" s="88"/>
    </row>
    <row r="39" spans="1:57" s="81" customFormat="1" x14ac:dyDescent="0.2">
      <c r="A39" s="75"/>
      <c r="B39" s="76" t="s">
        <v>129</v>
      </c>
      <c r="C39" s="77"/>
      <c r="D39" s="77"/>
      <c r="E39" s="77"/>
      <c r="F39" s="77"/>
      <c r="G39" s="79">
        <f>SUM(76+19)</f>
        <v>95</v>
      </c>
      <c r="H39" s="79"/>
      <c r="I39" s="79"/>
      <c r="J39" s="79"/>
      <c r="K39" s="79"/>
      <c r="L39" s="79"/>
      <c r="M39" s="79"/>
      <c r="N39" s="79"/>
      <c r="O39" s="79"/>
      <c r="P39" s="79"/>
      <c r="Q39" s="79"/>
      <c r="R39" s="79"/>
      <c r="S39" s="79"/>
      <c r="T39" s="79"/>
      <c r="U39" s="79"/>
      <c r="V39" s="79"/>
      <c r="W39" s="79"/>
      <c r="X39" s="79"/>
      <c r="Y39" s="79"/>
      <c r="Z39" s="79"/>
      <c r="AA39" s="79"/>
      <c r="AB39" s="79"/>
      <c r="AC39" s="79"/>
      <c r="AD39" s="79"/>
      <c r="AE39" s="79"/>
      <c r="AF39" s="79"/>
      <c r="AG39" s="79"/>
      <c r="AH39" s="79"/>
      <c r="AI39" s="79"/>
      <c r="AJ39" s="79"/>
      <c r="AK39" s="79"/>
      <c r="AL39" s="79"/>
      <c r="AM39" s="79"/>
      <c r="AN39" s="79"/>
      <c r="AO39" s="79"/>
      <c r="AP39" s="79"/>
      <c r="AQ39" s="79"/>
      <c r="AR39" s="79"/>
      <c r="AS39" s="79"/>
      <c r="AT39" s="79"/>
      <c r="AU39" s="79"/>
      <c r="AV39" s="79"/>
      <c r="AW39" s="79"/>
      <c r="AX39" s="79"/>
      <c r="AY39" s="79"/>
      <c r="AZ39" s="80"/>
      <c r="BA39" s="79"/>
      <c r="BB39" s="79"/>
      <c r="BC39" s="79"/>
      <c r="BD39" s="79"/>
      <c r="BE39" s="80"/>
    </row>
    <row r="40" spans="1:57" s="81" customFormat="1" ht="26.25" thickBot="1" x14ac:dyDescent="0.25">
      <c r="A40" s="75"/>
      <c r="B40" s="82" t="s">
        <v>166</v>
      </c>
      <c r="C40" s="84"/>
      <c r="D40" s="84"/>
      <c r="E40" s="84"/>
      <c r="F40" s="84"/>
      <c r="G40" s="86" t="s">
        <v>297</v>
      </c>
      <c r="H40" s="86"/>
      <c r="I40" s="86"/>
      <c r="J40" s="86"/>
      <c r="K40" s="86"/>
      <c r="L40" s="86"/>
      <c r="M40" s="86"/>
      <c r="N40" s="86"/>
      <c r="O40" s="86"/>
      <c r="P40" s="86"/>
      <c r="Q40" s="86"/>
      <c r="R40" s="86"/>
      <c r="S40" s="86"/>
      <c r="T40" s="86"/>
      <c r="U40" s="86"/>
      <c r="V40" s="86"/>
      <c r="W40" s="86"/>
      <c r="X40" s="86"/>
      <c r="Y40" s="86"/>
      <c r="Z40" s="86"/>
      <c r="AA40" s="86"/>
      <c r="AB40" s="86"/>
      <c r="AC40" s="86"/>
      <c r="AD40" s="86"/>
      <c r="AE40" s="86"/>
      <c r="AF40" s="86"/>
      <c r="AG40" s="86"/>
      <c r="AH40" s="86"/>
      <c r="AI40" s="86"/>
      <c r="AJ40" s="86"/>
      <c r="AK40" s="86"/>
      <c r="AL40" s="86"/>
      <c r="AM40" s="86"/>
      <c r="AN40" s="86"/>
      <c r="AO40" s="86"/>
      <c r="AP40" s="86"/>
      <c r="AQ40" s="86"/>
      <c r="AR40" s="86"/>
      <c r="AS40" s="86"/>
      <c r="AT40" s="86"/>
      <c r="AU40" s="86"/>
      <c r="AV40" s="86"/>
      <c r="AW40" s="86"/>
      <c r="AX40" s="86"/>
      <c r="AY40" s="86"/>
      <c r="AZ40" s="88"/>
      <c r="BA40" s="86"/>
      <c r="BB40" s="86"/>
      <c r="BC40" s="86"/>
      <c r="BD40" s="86"/>
      <c r="BE40" s="88"/>
    </row>
    <row r="41" spans="1:57" s="81" customFormat="1" x14ac:dyDescent="0.2">
      <c r="A41" s="75"/>
      <c r="B41" s="76" t="s">
        <v>130</v>
      </c>
      <c r="C41" s="77"/>
      <c r="D41" s="77"/>
      <c r="E41" s="77"/>
      <c r="F41" s="77"/>
      <c r="G41" s="79">
        <f>SUM(99.95+29.39)</f>
        <v>129.34</v>
      </c>
      <c r="H41" s="79"/>
      <c r="I41" s="79"/>
      <c r="J41" s="79"/>
      <c r="K41" s="79"/>
      <c r="L41" s="79"/>
      <c r="M41" s="79"/>
      <c r="N41" s="79"/>
      <c r="O41" s="79"/>
      <c r="P41" s="79"/>
      <c r="Q41" s="79"/>
      <c r="R41" s="79"/>
      <c r="S41" s="79"/>
      <c r="T41" s="79"/>
      <c r="U41" s="79"/>
      <c r="V41" s="79"/>
      <c r="W41" s="79"/>
      <c r="X41" s="79"/>
      <c r="Y41" s="79"/>
      <c r="Z41" s="79"/>
      <c r="AA41" s="79"/>
      <c r="AB41" s="79"/>
      <c r="AC41" s="79"/>
      <c r="AD41" s="79"/>
      <c r="AE41" s="79"/>
      <c r="AF41" s="79"/>
      <c r="AG41" s="79"/>
      <c r="AH41" s="79"/>
      <c r="AI41" s="79"/>
      <c r="AJ41" s="79"/>
      <c r="AK41" s="79"/>
      <c r="AL41" s="79"/>
      <c r="AM41" s="79"/>
      <c r="AN41" s="79"/>
      <c r="AO41" s="79"/>
      <c r="AP41" s="79"/>
      <c r="AQ41" s="79"/>
      <c r="AR41" s="79"/>
      <c r="AS41" s="79"/>
      <c r="AT41" s="79"/>
      <c r="AU41" s="79"/>
      <c r="AV41" s="79"/>
      <c r="AW41" s="79"/>
      <c r="AX41" s="79"/>
      <c r="AY41" s="79"/>
      <c r="AZ41" s="80"/>
      <c r="BA41" s="79"/>
      <c r="BB41" s="79"/>
      <c r="BC41" s="79"/>
      <c r="BD41" s="79"/>
      <c r="BE41" s="80"/>
    </row>
    <row r="42" spans="1:57" s="81" customFormat="1" ht="26.25" thickBot="1" x14ac:dyDescent="0.25">
      <c r="A42" s="75"/>
      <c r="B42" s="82" t="s">
        <v>166</v>
      </c>
      <c r="C42" s="84"/>
      <c r="D42" s="84"/>
      <c r="E42" s="84"/>
      <c r="F42" s="84"/>
      <c r="G42" s="86" t="s">
        <v>310</v>
      </c>
      <c r="H42" s="86"/>
      <c r="I42" s="86"/>
      <c r="J42" s="86"/>
      <c r="K42" s="86"/>
      <c r="L42" s="86"/>
      <c r="M42" s="86"/>
      <c r="N42" s="86"/>
      <c r="O42" s="86"/>
      <c r="P42" s="86"/>
      <c r="Q42" s="86"/>
      <c r="R42" s="86"/>
      <c r="S42" s="86"/>
      <c r="T42" s="86"/>
      <c r="U42" s="86"/>
      <c r="V42" s="86"/>
      <c r="W42" s="86"/>
      <c r="X42" s="86"/>
      <c r="Y42" s="86"/>
      <c r="Z42" s="86"/>
      <c r="AA42" s="86"/>
      <c r="AB42" s="86"/>
      <c r="AC42" s="86"/>
      <c r="AD42" s="86"/>
      <c r="AE42" s="86"/>
      <c r="AF42" s="86"/>
      <c r="AG42" s="86"/>
      <c r="AH42" s="86"/>
      <c r="AI42" s="86"/>
      <c r="AJ42" s="86"/>
      <c r="AK42" s="86"/>
      <c r="AL42" s="86"/>
      <c r="AM42" s="86"/>
      <c r="AN42" s="86"/>
      <c r="AO42" s="86"/>
      <c r="AP42" s="86"/>
      <c r="AQ42" s="86"/>
      <c r="AR42" s="86"/>
      <c r="AS42" s="86"/>
      <c r="AT42" s="86"/>
      <c r="AU42" s="86"/>
      <c r="AV42" s="86"/>
      <c r="AW42" s="86"/>
      <c r="AX42" s="86"/>
      <c r="AY42" s="86"/>
      <c r="AZ42" s="88"/>
      <c r="BA42" s="86"/>
      <c r="BB42" s="86"/>
      <c r="BC42" s="86"/>
      <c r="BD42" s="86"/>
      <c r="BE42" s="88"/>
    </row>
    <row r="43" spans="1:57" s="81" customFormat="1" x14ac:dyDescent="0.2">
      <c r="A43" s="75"/>
      <c r="B43" s="76" t="s">
        <v>131</v>
      </c>
      <c r="C43" s="77"/>
      <c r="D43" s="77"/>
      <c r="E43" s="77"/>
      <c r="F43" s="77"/>
      <c r="G43" s="79">
        <f>SUM(42+20)</f>
        <v>62</v>
      </c>
      <c r="H43" s="79"/>
      <c r="I43" s="79"/>
      <c r="J43" s="79"/>
      <c r="K43" s="79"/>
      <c r="L43" s="79"/>
      <c r="M43" s="79"/>
      <c r="N43" s="79"/>
      <c r="O43" s="79"/>
      <c r="P43" s="79"/>
      <c r="Q43" s="79"/>
      <c r="R43" s="79"/>
      <c r="S43" s="79"/>
      <c r="T43" s="79"/>
      <c r="U43" s="79"/>
      <c r="V43" s="79"/>
      <c r="W43" s="79"/>
      <c r="X43" s="79"/>
      <c r="Y43" s="79"/>
      <c r="Z43" s="79"/>
      <c r="AA43" s="79"/>
      <c r="AB43" s="79"/>
      <c r="AC43" s="79"/>
      <c r="AD43" s="79"/>
      <c r="AE43" s="79"/>
      <c r="AF43" s="79"/>
      <c r="AG43" s="79"/>
      <c r="AH43" s="79"/>
      <c r="AI43" s="79"/>
      <c r="AJ43" s="79"/>
      <c r="AK43" s="79"/>
      <c r="AL43" s="79"/>
      <c r="AM43" s="79"/>
      <c r="AN43" s="79"/>
      <c r="AO43" s="79"/>
      <c r="AP43" s="79"/>
      <c r="AQ43" s="79"/>
      <c r="AR43" s="79"/>
      <c r="AS43" s="79"/>
      <c r="AT43" s="79"/>
      <c r="AU43" s="79"/>
      <c r="AV43" s="79"/>
      <c r="AW43" s="79"/>
      <c r="AX43" s="79"/>
      <c r="AY43" s="79"/>
      <c r="AZ43" s="80"/>
      <c r="BA43" s="79"/>
      <c r="BB43" s="79"/>
      <c r="BC43" s="79"/>
      <c r="BD43" s="79"/>
      <c r="BE43" s="80"/>
    </row>
    <row r="44" spans="1:57" s="81" customFormat="1" ht="26.25" thickBot="1" x14ac:dyDescent="0.25">
      <c r="A44" s="75"/>
      <c r="B44" s="82" t="s">
        <v>166</v>
      </c>
      <c r="C44" s="84"/>
      <c r="D44" s="84"/>
      <c r="E44" s="84"/>
      <c r="F44" s="84"/>
      <c r="G44" s="86" t="s">
        <v>314</v>
      </c>
      <c r="H44" s="86"/>
      <c r="I44" s="86"/>
      <c r="J44" s="86"/>
      <c r="K44" s="86"/>
      <c r="L44" s="86"/>
      <c r="M44" s="86"/>
      <c r="N44" s="86"/>
      <c r="O44" s="86"/>
      <c r="P44" s="86"/>
      <c r="Q44" s="86"/>
      <c r="R44" s="86"/>
      <c r="S44" s="86"/>
      <c r="T44" s="86"/>
      <c r="U44" s="86"/>
      <c r="V44" s="86"/>
      <c r="W44" s="86"/>
      <c r="X44" s="86"/>
      <c r="Y44" s="86"/>
      <c r="Z44" s="86"/>
      <c r="AA44" s="86"/>
      <c r="AB44" s="86"/>
      <c r="AC44" s="86"/>
      <c r="AD44" s="86"/>
      <c r="AE44" s="86"/>
      <c r="AF44" s="86"/>
      <c r="AG44" s="86"/>
      <c r="AH44" s="86"/>
      <c r="AI44" s="86"/>
      <c r="AJ44" s="86"/>
      <c r="AK44" s="86"/>
      <c r="AL44" s="86"/>
      <c r="AM44" s="86"/>
      <c r="AN44" s="86"/>
      <c r="AO44" s="86"/>
      <c r="AP44" s="86"/>
      <c r="AQ44" s="86"/>
      <c r="AR44" s="86"/>
      <c r="AS44" s="86"/>
      <c r="AT44" s="86"/>
      <c r="AU44" s="86"/>
      <c r="AV44" s="86"/>
      <c r="AW44" s="86"/>
      <c r="AX44" s="86"/>
      <c r="AY44" s="86"/>
      <c r="AZ44" s="88"/>
      <c r="BA44" s="86"/>
      <c r="BB44" s="86"/>
      <c r="BC44" s="86"/>
      <c r="BD44" s="86"/>
      <c r="BE44" s="88"/>
    </row>
    <row r="45" spans="1:57" s="81" customFormat="1" x14ac:dyDescent="0.2">
      <c r="A45" s="75"/>
      <c r="B45" s="76" t="s">
        <v>132</v>
      </c>
      <c r="C45" s="77"/>
      <c r="D45" s="77"/>
      <c r="E45" s="77"/>
      <c r="F45" s="77"/>
      <c r="G45" s="79">
        <f>SUM(69.42+23.06)</f>
        <v>92.48</v>
      </c>
      <c r="H45" s="79"/>
      <c r="I45" s="79"/>
      <c r="J45" s="79"/>
      <c r="K45" s="79"/>
      <c r="L45" s="79"/>
      <c r="M45" s="79"/>
      <c r="N45" s="79"/>
      <c r="O45" s="79"/>
      <c r="P45" s="79"/>
      <c r="Q45" s="79"/>
      <c r="R45" s="79"/>
      <c r="S45" s="79"/>
      <c r="T45" s="79"/>
      <c r="U45" s="79"/>
      <c r="V45" s="79"/>
      <c r="W45" s="79"/>
      <c r="X45" s="79"/>
      <c r="Y45" s="79"/>
      <c r="Z45" s="79"/>
      <c r="AA45" s="79"/>
      <c r="AB45" s="79"/>
      <c r="AC45" s="79"/>
      <c r="AD45" s="79"/>
      <c r="AE45" s="79"/>
      <c r="AF45" s="79"/>
      <c r="AG45" s="79"/>
      <c r="AH45" s="79"/>
      <c r="AI45" s="79"/>
      <c r="AJ45" s="79"/>
      <c r="AK45" s="79"/>
      <c r="AL45" s="79"/>
      <c r="AM45" s="79"/>
      <c r="AN45" s="79"/>
      <c r="AO45" s="79"/>
      <c r="AP45" s="79"/>
      <c r="AQ45" s="79"/>
      <c r="AR45" s="79"/>
      <c r="AS45" s="79"/>
      <c r="AT45" s="79"/>
      <c r="AU45" s="79"/>
      <c r="AV45" s="79"/>
      <c r="AW45" s="79"/>
      <c r="AX45" s="79"/>
      <c r="AY45" s="79"/>
      <c r="AZ45" s="80"/>
      <c r="BA45" s="79"/>
      <c r="BB45" s="79"/>
      <c r="BC45" s="79"/>
      <c r="BD45" s="79"/>
      <c r="BE45" s="80"/>
    </row>
    <row r="46" spans="1:57" s="81" customFormat="1" ht="26.25" thickBot="1" x14ac:dyDescent="0.25">
      <c r="A46" s="75"/>
      <c r="B46" s="82" t="s">
        <v>166</v>
      </c>
      <c r="C46" s="84"/>
      <c r="D46" s="84"/>
      <c r="E46" s="84"/>
      <c r="F46" s="84"/>
      <c r="G46" s="86" t="s">
        <v>321</v>
      </c>
      <c r="H46" s="86"/>
      <c r="I46" s="86"/>
      <c r="J46" s="86"/>
      <c r="K46" s="86"/>
      <c r="L46" s="86"/>
      <c r="M46" s="86"/>
      <c r="N46" s="86"/>
      <c r="O46" s="86"/>
      <c r="P46" s="86"/>
      <c r="Q46" s="86"/>
      <c r="R46" s="86"/>
      <c r="S46" s="86"/>
      <c r="T46" s="86"/>
      <c r="U46" s="86"/>
      <c r="V46" s="86"/>
      <c r="W46" s="86"/>
      <c r="X46" s="86"/>
      <c r="Y46" s="86"/>
      <c r="Z46" s="86"/>
      <c r="AA46" s="86"/>
      <c r="AB46" s="86"/>
      <c r="AC46" s="86"/>
      <c r="AD46" s="86"/>
      <c r="AE46" s="86"/>
      <c r="AF46" s="86"/>
      <c r="AG46" s="86"/>
      <c r="AH46" s="86"/>
      <c r="AI46" s="86"/>
      <c r="AJ46" s="86"/>
      <c r="AK46" s="86"/>
      <c r="AL46" s="86"/>
      <c r="AM46" s="86"/>
      <c r="AN46" s="86"/>
      <c r="AO46" s="86"/>
      <c r="AP46" s="86"/>
      <c r="AQ46" s="86"/>
      <c r="AR46" s="86"/>
      <c r="AS46" s="86"/>
      <c r="AT46" s="86"/>
      <c r="AU46" s="86"/>
      <c r="AV46" s="86"/>
      <c r="AW46" s="86"/>
      <c r="AX46" s="86"/>
      <c r="AY46" s="86"/>
      <c r="AZ46" s="88"/>
      <c r="BA46" s="86"/>
      <c r="BB46" s="86"/>
      <c r="BC46" s="86"/>
      <c r="BD46" s="86"/>
      <c r="BE46" s="88"/>
    </row>
    <row r="47" spans="1:57" s="81" customFormat="1" x14ac:dyDescent="0.2">
      <c r="A47" s="75"/>
      <c r="B47" s="76" t="s">
        <v>133</v>
      </c>
      <c r="C47" s="77"/>
      <c r="D47" s="77"/>
      <c r="E47" s="77"/>
      <c r="F47" s="77"/>
      <c r="G47" s="79">
        <f>SUM(159.99+34.95)</f>
        <v>194.94</v>
      </c>
      <c r="H47" s="79"/>
      <c r="I47" s="79"/>
      <c r="J47" s="79"/>
      <c r="K47" s="79"/>
      <c r="L47" s="79"/>
      <c r="M47" s="79"/>
      <c r="N47" s="79"/>
      <c r="O47" s="79"/>
      <c r="P47" s="79"/>
      <c r="Q47" s="79"/>
      <c r="R47" s="79"/>
      <c r="S47" s="79"/>
      <c r="T47" s="79"/>
      <c r="U47" s="79"/>
      <c r="V47" s="79"/>
      <c r="W47" s="79"/>
      <c r="X47" s="79"/>
      <c r="Y47" s="79"/>
      <c r="Z47" s="79"/>
      <c r="AA47" s="79"/>
      <c r="AB47" s="79"/>
      <c r="AC47" s="79"/>
      <c r="AD47" s="79"/>
      <c r="AE47" s="79"/>
      <c r="AF47" s="79"/>
      <c r="AG47" s="79"/>
      <c r="AH47" s="79"/>
      <c r="AI47" s="79"/>
      <c r="AJ47" s="79"/>
      <c r="AK47" s="79"/>
      <c r="AL47" s="79"/>
      <c r="AM47" s="79"/>
      <c r="AN47" s="79"/>
      <c r="AO47" s="79"/>
      <c r="AP47" s="79"/>
      <c r="AQ47" s="79"/>
      <c r="AR47" s="79"/>
      <c r="AS47" s="79"/>
      <c r="AT47" s="79"/>
      <c r="AU47" s="79"/>
      <c r="AV47" s="79"/>
      <c r="AW47" s="79"/>
      <c r="AX47" s="79"/>
      <c r="AY47" s="79"/>
      <c r="AZ47" s="80"/>
      <c r="BA47" s="79"/>
      <c r="BB47" s="79"/>
      <c r="BC47" s="79"/>
      <c r="BD47" s="79"/>
      <c r="BE47" s="80"/>
    </row>
    <row r="48" spans="1:57" s="81" customFormat="1" ht="26.25" thickBot="1" x14ac:dyDescent="0.25">
      <c r="A48" s="75"/>
      <c r="B48" s="82" t="s">
        <v>166</v>
      </c>
      <c r="C48" s="84"/>
      <c r="D48" s="84"/>
      <c r="E48" s="84"/>
      <c r="F48" s="84"/>
      <c r="G48" s="86" t="s">
        <v>328</v>
      </c>
      <c r="H48" s="86"/>
      <c r="I48" s="86"/>
      <c r="J48" s="86"/>
      <c r="K48" s="86"/>
      <c r="L48" s="86"/>
      <c r="M48" s="86"/>
      <c r="N48" s="86"/>
      <c r="O48" s="86"/>
      <c r="P48" s="86"/>
      <c r="Q48" s="86"/>
      <c r="R48" s="86"/>
      <c r="S48" s="86"/>
      <c r="T48" s="86"/>
      <c r="U48" s="86"/>
      <c r="V48" s="86"/>
      <c r="W48" s="86"/>
      <c r="X48" s="86"/>
      <c r="Y48" s="86"/>
      <c r="Z48" s="86"/>
      <c r="AA48" s="86"/>
      <c r="AB48" s="86"/>
      <c r="AC48" s="86"/>
      <c r="AD48" s="86"/>
      <c r="AE48" s="86"/>
      <c r="AF48" s="86"/>
      <c r="AG48" s="86"/>
      <c r="AH48" s="86"/>
      <c r="AI48" s="86"/>
      <c r="AJ48" s="86"/>
      <c r="AK48" s="86"/>
      <c r="AL48" s="86"/>
      <c r="AM48" s="86"/>
      <c r="AN48" s="86"/>
      <c r="AO48" s="86"/>
      <c r="AP48" s="86"/>
      <c r="AQ48" s="86"/>
      <c r="AR48" s="86"/>
      <c r="AS48" s="86"/>
      <c r="AT48" s="86"/>
      <c r="AU48" s="86"/>
      <c r="AV48" s="86"/>
      <c r="AW48" s="86"/>
      <c r="AX48" s="86"/>
      <c r="AY48" s="86"/>
      <c r="AZ48" s="88"/>
      <c r="BA48" s="86"/>
      <c r="BB48" s="86"/>
      <c r="BC48" s="86"/>
      <c r="BD48" s="86"/>
      <c r="BE48" s="88"/>
    </row>
    <row r="49" spans="1:57" s="81" customFormat="1" x14ac:dyDescent="0.2">
      <c r="A49" s="75"/>
      <c r="B49" s="76" t="s">
        <v>134</v>
      </c>
      <c r="C49" s="77"/>
      <c r="D49" s="77"/>
      <c r="E49" s="77"/>
      <c r="F49" s="77"/>
      <c r="G49" s="79">
        <f>SUM(90+12.23+4.5)</f>
        <v>106.73</v>
      </c>
      <c r="H49" s="79"/>
      <c r="I49" s="79"/>
      <c r="J49" s="79"/>
      <c r="K49" s="79"/>
      <c r="L49" s="79"/>
      <c r="M49" s="79"/>
      <c r="N49" s="79"/>
      <c r="O49" s="79"/>
      <c r="P49" s="79"/>
      <c r="Q49" s="79"/>
      <c r="R49" s="79"/>
      <c r="S49" s="79"/>
      <c r="T49" s="79"/>
      <c r="U49" s="79"/>
      <c r="V49" s="79"/>
      <c r="W49" s="79"/>
      <c r="X49" s="79"/>
      <c r="Y49" s="79"/>
      <c r="Z49" s="79"/>
      <c r="AA49" s="79"/>
      <c r="AB49" s="79"/>
      <c r="AC49" s="79"/>
      <c r="AD49" s="79"/>
      <c r="AE49" s="79"/>
      <c r="AF49" s="79"/>
      <c r="AG49" s="79"/>
      <c r="AH49" s="79"/>
      <c r="AI49" s="79"/>
      <c r="AJ49" s="79"/>
      <c r="AK49" s="79"/>
      <c r="AL49" s="79"/>
      <c r="AM49" s="79"/>
      <c r="AN49" s="79"/>
      <c r="AO49" s="79"/>
      <c r="AP49" s="79"/>
      <c r="AQ49" s="79"/>
      <c r="AR49" s="79"/>
      <c r="AS49" s="79"/>
      <c r="AT49" s="79"/>
      <c r="AU49" s="79"/>
      <c r="AV49" s="79"/>
      <c r="AW49" s="79"/>
      <c r="AX49" s="79"/>
      <c r="AY49" s="79"/>
      <c r="AZ49" s="80"/>
      <c r="BA49" s="79"/>
      <c r="BB49" s="79"/>
      <c r="BC49" s="79"/>
      <c r="BD49" s="79"/>
      <c r="BE49" s="80"/>
    </row>
    <row r="50" spans="1:57" s="81" customFormat="1" ht="26.25" thickBot="1" x14ac:dyDescent="0.25">
      <c r="A50" s="75"/>
      <c r="B50" s="82" t="s">
        <v>166</v>
      </c>
      <c r="C50" s="84"/>
      <c r="D50" s="84"/>
      <c r="E50" s="84"/>
      <c r="F50" s="84"/>
      <c r="G50" s="86" t="s">
        <v>334</v>
      </c>
      <c r="H50" s="86"/>
      <c r="I50" s="86"/>
      <c r="J50" s="86"/>
      <c r="K50" s="86"/>
      <c r="L50" s="86"/>
      <c r="M50" s="86"/>
      <c r="N50" s="86"/>
      <c r="O50" s="86"/>
      <c r="P50" s="86"/>
      <c r="Q50" s="86"/>
      <c r="R50" s="86"/>
      <c r="S50" s="86"/>
      <c r="T50" s="86"/>
      <c r="U50" s="86"/>
      <c r="V50" s="86"/>
      <c r="W50" s="86"/>
      <c r="X50" s="86"/>
      <c r="Y50" s="86"/>
      <c r="Z50" s="86"/>
      <c r="AA50" s="86"/>
      <c r="AB50" s="86"/>
      <c r="AC50" s="86"/>
      <c r="AD50" s="86"/>
      <c r="AE50" s="86"/>
      <c r="AF50" s="86"/>
      <c r="AG50" s="86"/>
      <c r="AH50" s="86"/>
      <c r="AI50" s="86"/>
      <c r="AJ50" s="86"/>
      <c r="AK50" s="86"/>
      <c r="AL50" s="86"/>
      <c r="AM50" s="86"/>
      <c r="AN50" s="86"/>
      <c r="AO50" s="86"/>
      <c r="AP50" s="86"/>
      <c r="AQ50" s="86"/>
      <c r="AR50" s="86"/>
      <c r="AS50" s="86"/>
      <c r="AT50" s="86"/>
      <c r="AU50" s="86"/>
      <c r="AV50" s="86"/>
      <c r="AW50" s="86"/>
      <c r="AX50" s="86"/>
      <c r="AY50" s="86"/>
      <c r="AZ50" s="88"/>
      <c r="BA50" s="86"/>
      <c r="BB50" s="86"/>
      <c r="BC50" s="86"/>
      <c r="BD50" s="86"/>
      <c r="BE50" s="88"/>
    </row>
    <row r="51" spans="1:57" s="81" customFormat="1" x14ac:dyDescent="0.2">
      <c r="A51" s="75"/>
      <c r="B51" s="76" t="s">
        <v>135</v>
      </c>
      <c r="C51" s="77"/>
      <c r="D51" s="77"/>
      <c r="E51" s="77"/>
      <c r="F51" s="77"/>
      <c r="G51" s="79">
        <f>SUM(129+30)</f>
        <v>159</v>
      </c>
      <c r="H51" s="79"/>
      <c r="I51" s="79"/>
      <c r="J51" s="79"/>
      <c r="K51" s="79"/>
      <c r="L51" s="79"/>
      <c r="M51" s="79"/>
      <c r="N51" s="79"/>
      <c r="O51" s="79"/>
      <c r="P51" s="79"/>
      <c r="Q51" s="79"/>
      <c r="R51" s="79"/>
      <c r="S51" s="79"/>
      <c r="T51" s="79"/>
      <c r="U51" s="79"/>
      <c r="V51" s="79"/>
      <c r="W51" s="79"/>
      <c r="X51" s="79"/>
      <c r="Y51" s="79"/>
      <c r="Z51" s="79"/>
      <c r="AA51" s="79"/>
      <c r="AB51" s="79"/>
      <c r="AC51" s="79"/>
      <c r="AD51" s="79"/>
      <c r="AE51" s="79"/>
      <c r="AF51" s="79"/>
      <c r="AG51" s="79"/>
      <c r="AH51" s="79"/>
      <c r="AI51" s="79"/>
      <c r="AJ51" s="79"/>
      <c r="AK51" s="79"/>
      <c r="AL51" s="79"/>
      <c r="AM51" s="79"/>
      <c r="AN51" s="79"/>
      <c r="AO51" s="79"/>
      <c r="AP51" s="79"/>
      <c r="AQ51" s="79"/>
      <c r="AR51" s="79"/>
      <c r="AS51" s="79"/>
      <c r="AT51" s="79"/>
      <c r="AU51" s="79"/>
      <c r="AV51" s="79"/>
      <c r="AW51" s="79"/>
      <c r="AX51" s="79"/>
      <c r="AY51" s="79"/>
      <c r="AZ51" s="80"/>
      <c r="BA51" s="79"/>
      <c r="BB51" s="79"/>
      <c r="BC51" s="79"/>
      <c r="BD51" s="79"/>
      <c r="BE51" s="80"/>
    </row>
    <row r="52" spans="1:57" s="81" customFormat="1" ht="26.25" thickBot="1" x14ac:dyDescent="0.25">
      <c r="A52" s="75"/>
      <c r="B52" s="82" t="s">
        <v>166</v>
      </c>
      <c r="C52" s="84"/>
      <c r="D52" s="84"/>
      <c r="E52" s="84"/>
      <c r="F52" s="84"/>
      <c r="G52" s="86" t="s">
        <v>229</v>
      </c>
      <c r="H52" s="86"/>
      <c r="I52" s="86"/>
      <c r="J52" s="86"/>
      <c r="K52" s="86"/>
      <c r="L52" s="86"/>
      <c r="M52" s="86"/>
      <c r="N52" s="86"/>
      <c r="O52" s="86"/>
      <c r="P52" s="86"/>
      <c r="Q52" s="86"/>
      <c r="R52" s="86"/>
      <c r="S52" s="86"/>
      <c r="T52" s="86"/>
      <c r="U52" s="86"/>
      <c r="V52" s="86"/>
      <c r="W52" s="86"/>
      <c r="X52" s="86"/>
      <c r="Y52" s="86"/>
      <c r="Z52" s="86"/>
      <c r="AA52" s="86"/>
      <c r="AB52" s="86"/>
      <c r="AC52" s="86"/>
      <c r="AD52" s="86"/>
      <c r="AE52" s="86"/>
      <c r="AF52" s="86"/>
      <c r="AG52" s="86"/>
      <c r="AH52" s="86"/>
      <c r="AI52" s="86"/>
      <c r="AJ52" s="86"/>
      <c r="AK52" s="86"/>
      <c r="AL52" s="86"/>
      <c r="AM52" s="86"/>
      <c r="AN52" s="86"/>
      <c r="AO52" s="86"/>
      <c r="AP52" s="86"/>
      <c r="AQ52" s="86"/>
      <c r="AR52" s="86"/>
      <c r="AS52" s="86"/>
      <c r="AT52" s="86"/>
      <c r="AU52" s="86"/>
      <c r="AV52" s="86"/>
      <c r="AW52" s="86"/>
      <c r="AX52" s="86"/>
      <c r="AY52" s="86"/>
      <c r="AZ52" s="88"/>
      <c r="BA52" s="86"/>
      <c r="BB52" s="86"/>
      <c r="BC52" s="86"/>
      <c r="BD52" s="86"/>
      <c r="BE52" s="88"/>
    </row>
    <row r="53" spans="1:57" s="81" customFormat="1" x14ac:dyDescent="0.2">
      <c r="A53" s="75"/>
      <c r="B53" s="76" t="s">
        <v>136</v>
      </c>
      <c r="C53" s="77"/>
      <c r="D53" s="77"/>
      <c r="E53" s="77"/>
      <c r="F53" s="77"/>
      <c r="G53" s="79">
        <f>SUM(202.5+35)</f>
        <v>237.5</v>
      </c>
      <c r="H53" s="79"/>
      <c r="I53" s="79"/>
      <c r="J53" s="79"/>
      <c r="K53" s="79"/>
      <c r="L53" s="79"/>
      <c r="M53" s="79"/>
      <c r="N53" s="79"/>
      <c r="O53" s="79"/>
      <c r="P53" s="79"/>
      <c r="Q53" s="79"/>
      <c r="R53" s="79"/>
      <c r="S53" s="79"/>
      <c r="T53" s="79"/>
      <c r="U53" s="79"/>
      <c r="V53" s="79"/>
      <c r="W53" s="79"/>
      <c r="X53" s="79"/>
      <c r="Y53" s="79"/>
      <c r="Z53" s="79"/>
      <c r="AA53" s="79"/>
      <c r="AB53" s="79"/>
      <c r="AC53" s="79"/>
      <c r="AD53" s="79"/>
      <c r="AE53" s="79"/>
      <c r="AF53" s="79"/>
      <c r="AG53" s="79"/>
      <c r="AH53" s="79"/>
      <c r="AI53" s="79"/>
      <c r="AJ53" s="79"/>
      <c r="AK53" s="79"/>
      <c r="AL53" s="79"/>
      <c r="AM53" s="79"/>
      <c r="AN53" s="79"/>
      <c r="AO53" s="79"/>
      <c r="AP53" s="79"/>
      <c r="AQ53" s="79"/>
      <c r="AR53" s="79"/>
      <c r="AS53" s="79"/>
      <c r="AT53" s="79"/>
      <c r="AU53" s="79"/>
      <c r="AV53" s="79"/>
      <c r="AW53" s="79"/>
      <c r="AX53" s="79"/>
      <c r="AY53" s="79"/>
      <c r="AZ53" s="80"/>
      <c r="BA53" s="79"/>
      <c r="BB53" s="79"/>
      <c r="BC53" s="79"/>
      <c r="BD53" s="79"/>
      <c r="BE53" s="80"/>
    </row>
    <row r="54" spans="1:57" s="81" customFormat="1" ht="26.25" thickBot="1" x14ac:dyDescent="0.25">
      <c r="A54" s="75"/>
      <c r="B54" s="82" t="s">
        <v>166</v>
      </c>
      <c r="C54" s="84"/>
      <c r="D54" s="84"/>
      <c r="E54" s="84"/>
      <c r="F54" s="84"/>
      <c r="G54" s="86" t="s">
        <v>261</v>
      </c>
      <c r="H54" s="86"/>
      <c r="I54" s="86"/>
      <c r="J54" s="86"/>
      <c r="K54" s="86"/>
      <c r="L54" s="86"/>
      <c r="M54" s="86"/>
      <c r="N54" s="86"/>
      <c r="O54" s="86"/>
      <c r="P54" s="86"/>
      <c r="Q54" s="86"/>
      <c r="R54" s="86"/>
      <c r="S54" s="86"/>
      <c r="T54" s="86"/>
      <c r="U54" s="86"/>
      <c r="V54" s="86"/>
      <c r="W54" s="86"/>
      <c r="X54" s="86"/>
      <c r="Y54" s="86"/>
      <c r="Z54" s="86"/>
      <c r="AA54" s="86"/>
      <c r="AB54" s="86"/>
      <c r="AC54" s="86"/>
      <c r="AD54" s="86"/>
      <c r="AE54" s="86"/>
      <c r="AF54" s="86"/>
      <c r="AG54" s="86"/>
      <c r="AH54" s="86"/>
      <c r="AI54" s="86"/>
      <c r="AJ54" s="86"/>
      <c r="AK54" s="86"/>
      <c r="AL54" s="86"/>
      <c r="AM54" s="86"/>
      <c r="AN54" s="86"/>
      <c r="AO54" s="86"/>
      <c r="AP54" s="86"/>
      <c r="AQ54" s="86"/>
      <c r="AR54" s="86"/>
      <c r="AS54" s="86"/>
      <c r="AT54" s="86"/>
      <c r="AU54" s="86"/>
      <c r="AV54" s="86"/>
      <c r="AW54" s="86"/>
      <c r="AX54" s="86"/>
      <c r="AY54" s="86"/>
      <c r="AZ54" s="88"/>
      <c r="BA54" s="86"/>
      <c r="BB54" s="86"/>
      <c r="BC54" s="86"/>
      <c r="BD54" s="86"/>
      <c r="BE54" s="88"/>
    </row>
    <row r="55" spans="1:57" s="81" customFormat="1" x14ac:dyDescent="0.2">
      <c r="A55" s="75"/>
      <c r="B55" s="76" t="s">
        <v>137</v>
      </c>
      <c r="C55" s="77"/>
      <c r="D55" s="77"/>
      <c r="E55" s="77"/>
      <c r="F55" s="77"/>
      <c r="G55" s="79">
        <f>SUM(47+15)</f>
        <v>62</v>
      </c>
      <c r="H55" s="79"/>
      <c r="I55" s="79"/>
      <c r="J55" s="79"/>
      <c r="K55" s="79"/>
      <c r="L55" s="79"/>
      <c r="M55" s="79"/>
      <c r="N55" s="79"/>
      <c r="O55" s="79"/>
      <c r="P55" s="79"/>
      <c r="Q55" s="79"/>
      <c r="R55" s="79"/>
      <c r="S55" s="79"/>
      <c r="T55" s="79"/>
      <c r="U55" s="79"/>
      <c r="V55" s="79"/>
      <c r="W55" s="79"/>
      <c r="X55" s="79"/>
      <c r="Y55" s="79"/>
      <c r="Z55" s="79"/>
      <c r="AA55" s="79"/>
      <c r="AB55" s="79"/>
      <c r="AC55" s="79"/>
      <c r="AD55" s="79"/>
      <c r="AE55" s="79"/>
      <c r="AF55" s="79"/>
      <c r="AG55" s="79"/>
      <c r="AH55" s="79"/>
      <c r="AI55" s="79"/>
      <c r="AJ55" s="79"/>
      <c r="AK55" s="79"/>
      <c r="AL55" s="79"/>
      <c r="AM55" s="79"/>
      <c r="AN55" s="79"/>
      <c r="AO55" s="79"/>
      <c r="AP55" s="79"/>
      <c r="AQ55" s="79"/>
      <c r="AR55" s="79"/>
      <c r="AS55" s="79"/>
      <c r="AT55" s="79"/>
      <c r="AU55" s="79"/>
      <c r="AV55" s="79"/>
      <c r="AW55" s="79"/>
      <c r="AX55" s="79"/>
      <c r="AY55" s="79"/>
      <c r="AZ55" s="80"/>
      <c r="BA55" s="79"/>
      <c r="BB55" s="79"/>
      <c r="BC55" s="79"/>
      <c r="BD55" s="79"/>
      <c r="BE55" s="80"/>
    </row>
    <row r="56" spans="1:57" s="81" customFormat="1" ht="26.25" thickBot="1" x14ac:dyDescent="0.25">
      <c r="A56" s="75"/>
      <c r="B56" s="82" t="s">
        <v>166</v>
      </c>
      <c r="C56" s="84"/>
      <c r="D56" s="84"/>
      <c r="E56" s="84"/>
      <c r="F56" s="84"/>
      <c r="G56" s="86" t="s">
        <v>301</v>
      </c>
      <c r="H56" s="86"/>
      <c r="I56" s="86"/>
      <c r="J56" s="86"/>
      <c r="K56" s="86"/>
      <c r="L56" s="86"/>
      <c r="M56" s="86"/>
      <c r="N56" s="86"/>
      <c r="O56" s="86"/>
      <c r="P56" s="86"/>
      <c r="Q56" s="86"/>
      <c r="R56" s="86"/>
      <c r="S56" s="86"/>
      <c r="T56" s="86"/>
      <c r="U56" s="86"/>
      <c r="V56" s="86"/>
      <c r="W56" s="86"/>
      <c r="X56" s="86"/>
      <c r="Y56" s="86"/>
      <c r="Z56" s="86"/>
      <c r="AA56" s="86"/>
      <c r="AB56" s="86"/>
      <c r="AC56" s="86"/>
      <c r="AD56" s="86"/>
      <c r="AE56" s="86"/>
      <c r="AF56" s="86"/>
      <c r="AG56" s="86"/>
      <c r="AH56" s="86"/>
      <c r="AI56" s="86"/>
      <c r="AJ56" s="86"/>
      <c r="AK56" s="86"/>
      <c r="AL56" s="86"/>
      <c r="AM56" s="86"/>
      <c r="AN56" s="86"/>
      <c r="AO56" s="86"/>
      <c r="AP56" s="86"/>
      <c r="AQ56" s="86"/>
      <c r="AR56" s="86"/>
      <c r="AS56" s="86"/>
      <c r="AT56" s="86"/>
      <c r="AU56" s="86"/>
      <c r="AV56" s="86"/>
      <c r="AW56" s="86"/>
      <c r="AX56" s="86"/>
      <c r="AY56" s="86"/>
      <c r="AZ56" s="88"/>
      <c r="BA56" s="86"/>
      <c r="BB56" s="86"/>
      <c r="BC56" s="86"/>
      <c r="BD56" s="86"/>
      <c r="BE56" s="88"/>
    </row>
    <row r="57" spans="1:57" s="81" customFormat="1" x14ac:dyDescent="0.2">
      <c r="A57" s="75"/>
      <c r="B57" s="76" t="s">
        <v>138</v>
      </c>
      <c r="C57" s="77"/>
      <c r="D57" s="77"/>
      <c r="E57" s="77"/>
      <c r="F57" s="77"/>
      <c r="G57" s="79">
        <f>SUM(80+29.99)</f>
        <v>109.99</v>
      </c>
      <c r="H57" s="79"/>
      <c r="I57" s="79"/>
      <c r="J57" s="79"/>
      <c r="K57" s="79"/>
      <c r="L57" s="79"/>
      <c r="M57" s="79"/>
      <c r="N57" s="79"/>
      <c r="O57" s="79"/>
      <c r="P57" s="79"/>
      <c r="Q57" s="79"/>
      <c r="R57" s="79"/>
      <c r="S57" s="79"/>
      <c r="T57" s="79"/>
      <c r="U57" s="79"/>
      <c r="V57" s="79"/>
      <c r="W57" s="79"/>
      <c r="X57" s="79"/>
      <c r="Y57" s="79"/>
      <c r="Z57" s="79"/>
      <c r="AA57" s="79"/>
      <c r="AB57" s="79"/>
      <c r="AC57" s="79"/>
      <c r="AD57" s="79"/>
      <c r="AE57" s="79"/>
      <c r="AF57" s="79"/>
      <c r="AG57" s="79"/>
      <c r="AH57" s="79"/>
      <c r="AI57" s="79"/>
      <c r="AJ57" s="79"/>
      <c r="AK57" s="79"/>
      <c r="AL57" s="79"/>
      <c r="AM57" s="79"/>
      <c r="AN57" s="79"/>
      <c r="AO57" s="79"/>
      <c r="AP57" s="79"/>
      <c r="AQ57" s="79"/>
      <c r="AR57" s="79"/>
      <c r="AS57" s="79"/>
      <c r="AT57" s="79"/>
      <c r="AU57" s="79"/>
      <c r="AV57" s="79"/>
      <c r="AW57" s="79"/>
      <c r="AX57" s="79"/>
      <c r="AY57" s="79"/>
      <c r="AZ57" s="80"/>
      <c r="BA57" s="79"/>
      <c r="BB57" s="79"/>
      <c r="BC57" s="79"/>
      <c r="BD57" s="79"/>
      <c r="BE57" s="80"/>
    </row>
    <row r="58" spans="1:57" s="81" customFormat="1" ht="26.25" thickBot="1" x14ac:dyDescent="0.25">
      <c r="A58" s="75"/>
      <c r="B58" s="82" t="s">
        <v>166</v>
      </c>
      <c r="C58" s="84"/>
      <c r="D58" s="84"/>
      <c r="E58" s="84"/>
      <c r="F58" s="84"/>
      <c r="G58" s="86" t="s">
        <v>309</v>
      </c>
      <c r="H58" s="86"/>
      <c r="I58" s="86"/>
      <c r="J58" s="86"/>
      <c r="K58" s="86"/>
      <c r="L58" s="86"/>
      <c r="M58" s="86"/>
      <c r="N58" s="86"/>
      <c r="O58" s="86"/>
      <c r="P58" s="86"/>
      <c r="Q58" s="86"/>
      <c r="R58" s="86"/>
      <c r="S58" s="86"/>
      <c r="T58" s="86"/>
      <c r="U58" s="86"/>
      <c r="V58" s="86"/>
      <c r="W58" s="86"/>
      <c r="X58" s="86"/>
      <c r="Y58" s="86"/>
      <c r="Z58" s="86"/>
      <c r="AA58" s="86"/>
      <c r="AB58" s="86"/>
      <c r="AC58" s="86"/>
      <c r="AD58" s="86"/>
      <c r="AE58" s="86"/>
      <c r="AF58" s="86"/>
      <c r="AG58" s="86"/>
      <c r="AH58" s="86"/>
      <c r="AI58" s="86"/>
      <c r="AJ58" s="86"/>
      <c r="AK58" s="86"/>
      <c r="AL58" s="86"/>
      <c r="AM58" s="86"/>
      <c r="AN58" s="86"/>
      <c r="AO58" s="86"/>
      <c r="AP58" s="86"/>
      <c r="AQ58" s="86"/>
      <c r="AR58" s="86"/>
      <c r="AS58" s="86"/>
      <c r="AT58" s="86"/>
      <c r="AU58" s="86"/>
      <c r="AV58" s="86"/>
      <c r="AW58" s="86"/>
      <c r="AX58" s="86"/>
      <c r="AY58" s="86"/>
      <c r="AZ58" s="88"/>
      <c r="BA58" s="86"/>
      <c r="BB58" s="86"/>
      <c r="BC58" s="86"/>
      <c r="BD58" s="86"/>
      <c r="BE58" s="88"/>
    </row>
    <row r="59" spans="1:57" s="81" customFormat="1" x14ac:dyDescent="0.2">
      <c r="A59" s="75"/>
      <c r="B59" s="76" t="s">
        <v>139</v>
      </c>
      <c r="C59" s="77"/>
      <c r="D59" s="77"/>
      <c r="E59" s="77"/>
      <c r="F59" s="77"/>
      <c r="G59" s="79">
        <f>SUM(100+30)</f>
        <v>130</v>
      </c>
      <c r="H59" s="79"/>
      <c r="I59" s="79"/>
      <c r="J59" s="79"/>
      <c r="K59" s="79"/>
      <c r="L59" s="79"/>
      <c r="M59" s="79"/>
      <c r="N59" s="79"/>
      <c r="O59" s="79"/>
      <c r="P59" s="79"/>
      <c r="Q59" s="79"/>
      <c r="R59" s="79"/>
      <c r="S59" s="79"/>
      <c r="T59" s="79"/>
      <c r="U59" s="79"/>
      <c r="V59" s="79"/>
      <c r="W59" s="79"/>
      <c r="X59" s="79"/>
      <c r="Y59" s="79"/>
      <c r="Z59" s="79"/>
      <c r="AA59" s="79"/>
      <c r="AB59" s="79"/>
      <c r="AC59" s="79"/>
      <c r="AD59" s="79"/>
      <c r="AE59" s="79"/>
      <c r="AF59" s="79"/>
      <c r="AG59" s="79"/>
      <c r="AH59" s="79"/>
      <c r="AI59" s="79"/>
      <c r="AJ59" s="79"/>
      <c r="AK59" s="79"/>
      <c r="AL59" s="79"/>
      <c r="AM59" s="79"/>
      <c r="AN59" s="79"/>
      <c r="AO59" s="79"/>
      <c r="AP59" s="79"/>
      <c r="AQ59" s="79"/>
      <c r="AR59" s="79"/>
      <c r="AS59" s="79"/>
      <c r="AT59" s="79"/>
      <c r="AU59" s="79"/>
      <c r="AV59" s="79"/>
      <c r="AW59" s="79"/>
      <c r="AX59" s="79"/>
      <c r="AY59" s="79"/>
      <c r="AZ59" s="80"/>
      <c r="BA59" s="79"/>
      <c r="BB59" s="79"/>
      <c r="BC59" s="79"/>
      <c r="BD59" s="79"/>
      <c r="BE59" s="80"/>
    </row>
    <row r="60" spans="1:57" s="81" customFormat="1" ht="26.25" thickBot="1" x14ac:dyDescent="0.25">
      <c r="A60" s="75"/>
      <c r="B60" s="82" t="s">
        <v>166</v>
      </c>
      <c r="C60" s="84"/>
      <c r="D60" s="84"/>
      <c r="E60" s="84"/>
      <c r="F60" s="84"/>
      <c r="G60" s="96" t="s">
        <v>346</v>
      </c>
      <c r="H60" s="86"/>
      <c r="I60" s="86"/>
      <c r="J60" s="86"/>
      <c r="K60" s="86"/>
      <c r="L60" s="86"/>
      <c r="M60" s="86"/>
      <c r="N60" s="86"/>
      <c r="O60" s="86"/>
      <c r="P60" s="86"/>
      <c r="Q60" s="86"/>
      <c r="R60" s="86"/>
      <c r="S60" s="86"/>
      <c r="T60" s="86"/>
      <c r="U60" s="86"/>
      <c r="V60" s="86"/>
      <c r="W60" s="86"/>
      <c r="X60" s="86"/>
      <c r="Y60" s="86"/>
      <c r="Z60" s="86"/>
      <c r="AA60" s="86"/>
      <c r="AB60" s="86"/>
      <c r="AC60" s="86"/>
      <c r="AD60" s="86"/>
      <c r="AE60" s="86"/>
      <c r="AF60" s="86"/>
      <c r="AG60" s="86"/>
      <c r="AH60" s="86"/>
      <c r="AI60" s="86"/>
      <c r="AJ60" s="86"/>
      <c r="AK60" s="86"/>
      <c r="AL60" s="86"/>
      <c r="AM60" s="86"/>
      <c r="AN60" s="86"/>
      <c r="AO60" s="86"/>
      <c r="AP60" s="86"/>
      <c r="AQ60" s="86"/>
      <c r="AR60" s="86"/>
      <c r="AS60" s="86"/>
      <c r="AT60" s="86"/>
      <c r="AU60" s="86"/>
      <c r="AV60" s="86"/>
      <c r="AW60" s="86"/>
      <c r="AX60" s="86"/>
      <c r="AY60" s="86"/>
      <c r="AZ60" s="88"/>
      <c r="BA60" s="86"/>
      <c r="BB60" s="86"/>
      <c r="BC60" s="86"/>
      <c r="BD60" s="86"/>
      <c r="BE60" s="88"/>
    </row>
    <row r="61" spans="1:57" s="81" customFormat="1" x14ac:dyDescent="0.2">
      <c r="A61" s="75"/>
      <c r="B61" s="76" t="s">
        <v>140</v>
      </c>
      <c r="C61" s="77"/>
      <c r="D61" s="77"/>
      <c r="E61" s="77"/>
      <c r="F61" s="77"/>
      <c r="G61" s="79">
        <f>SUM(150+12.08)</f>
        <v>162.08000000000001</v>
      </c>
      <c r="H61" s="79"/>
      <c r="I61" s="79"/>
      <c r="J61" s="79"/>
      <c r="K61" s="79"/>
      <c r="L61" s="79"/>
      <c r="M61" s="79"/>
      <c r="N61" s="79"/>
      <c r="O61" s="79"/>
      <c r="P61" s="79"/>
      <c r="Q61" s="79"/>
      <c r="R61" s="79"/>
      <c r="S61" s="79"/>
      <c r="T61" s="79"/>
      <c r="U61" s="79"/>
      <c r="V61" s="79"/>
      <c r="W61" s="79"/>
      <c r="X61" s="79"/>
      <c r="Y61" s="79"/>
      <c r="Z61" s="79"/>
      <c r="AA61" s="79"/>
      <c r="AB61" s="79"/>
      <c r="AC61" s="79"/>
      <c r="AD61" s="79"/>
      <c r="AE61" s="79"/>
      <c r="AF61" s="79"/>
      <c r="AG61" s="79"/>
      <c r="AH61" s="79"/>
      <c r="AI61" s="79"/>
      <c r="AJ61" s="79"/>
      <c r="AK61" s="79"/>
      <c r="AL61" s="79"/>
      <c r="AM61" s="79"/>
      <c r="AN61" s="79"/>
      <c r="AO61" s="79"/>
      <c r="AP61" s="79"/>
      <c r="AQ61" s="79"/>
      <c r="AR61" s="79"/>
      <c r="AS61" s="79"/>
      <c r="AT61" s="79"/>
      <c r="AU61" s="79"/>
      <c r="AV61" s="79"/>
      <c r="AW61" s="79"/>
      <c r="AX61" s="79"/>
      <c r="AY61" s="79"/>
      <c r="AZ61" s="80"/>
      <c r="BA61" s="79"/>
      <c r="BB61" s="79"/>
      <c r="BC61" s="79"/>
      <c r="BD61" s="79"/>
      <c r="BE61" s="80"/>
    </row>
    <row r="62" spans="1:57" s="81" customFormat="1" ht="26.25" thickBot="1" x14ac:dyDescent="0.25">
      <c r="A62" s="75"/>
      <c r="B62" s="82" t="s">
        <v>166</v>
      </c>
      <c r="C62" s="84"/>
      <c r="D62" s="84"/>
      <c r="E62" s="84"/>
      <c r="F62" s="84"/>
      <c r="G62" s="86" t="s">
        <v>386</v>
      </c>
      <c r="H62" s="86"/>
      <c r="I62" s="86"/>
      <c r="J62" s="86"/>
      <c r="K62" s="86"/>
      <c r="L62" s="86"/>
      <c r="M62" s="86"/>
      <c r="N62" s="86"/>
      <c r="O62" s="86"/>
      <c r="P62" s="86"/>
      <c r="Q62" s="86"/>
      <c r="R62" s="86"/>
      <c r="S62" s="86"/>
      <c r="T62" s="86"/>
      <c r="U62" s="86"/>
      <c r="V62" s="86"/>
      <c r="W62" s="86"/>
      <c r="X62" s="86"/>
      <c r="Y62" s="86"/>
      <c r="Z62" s="86"/>
      <c r="AA62" s="86"/>
      <c r="AB62" s="86"/>
      <c r="AC62" s="86"/>
      <c r="AD62" s="86"/>
      <c r="AE62" s="86"/>
      <c r="AF62" s="86"/>
      <c r="AG62" s="86"/>
      <c r="AH62" s="86"/>
      <c r="AI62" s="86"/>
      <c r="AJ62" s="86"/>
      <c r="AK62" s="86"/>
      <c r="AL62" s="86"/>
      <c r="AM62" s="86"/>
      <c r="AN62" s="86"/>
      <c r="AO62" s="86"/>
      <c r="AP62" s="86"/>
      <c r="AQ62" s="86"/>
      <c r="AR62" s="86"/>
      <c r="AS62" s="86"/>
      <c r="AT62" s="86"/>
      <c r="AU62" s="86"/>
      <c r="AV62" s="86"/>
      <c r="AW62" s="86"/>
      <c r="AX62" s="86"/>
      <c r="AY62" s="86"/>
      <c r="AZ62" s="88"/>
      <c r="BA62" s="86"/>
      <c r="BB62" s="86"/>
      <c r="BC62" s="86"/>
      <c r="BD62" s="86"/>
      <c r="BE62" s="88"/>
    </row>
    <row r="63" spans="1:57" s="81" customFormat="1" x14ac:dyDescent="0.2">
      <c r="A63" s="75"/>
      <c r="B63" s="76" t="s">
        <v>142</v>
      </c>
      <c r="C63" s="77"/>
      <c r="D63" s="77"/>
      <c r="E63" s="77"/>
      <c r="F63" s="77"/>
      <c r="G63" s="79">
        <f>SUM(145+25.08)</f>
        <v>170.07999999999998</v>
      </c>
      <c r="H63" s="79"/>
      <c r="I63" s="79"/>
      <c r="J63" s="79"/>
      <c r="K63" s="79"/>
      <c r="L63" s="79"/>
      <c r="M63" s="79"/>
      <c r="N63" s="79"/>
      <c r="O63" s="79"/>
      <c r="P63" s="79"/>
      <c r="Q63" s="79"/>
      <c r="R63" s="79"/>
      <c r="S63" s="79"/>
      <c r="T63" s="79"/>
      <c r="U63" s="79"/>
      <c r="V63" s="79"/>
      <c r="W63" s="79"/>
      <c r="X63" s="79"/>
      <c r="Y63" s="79"/>
      <c r="Z63" s="79"/>
      <c r="AA63" s="79"/>
      <c r="AB63" s="79"/>
      <c r="AC63" s="79"/>
      <c r="AD63" s="79"/>
      <c r="AE63" s="79"/>
      <c r="AF63" s="79"/>
      <c r="AG63" s="79"/>
      <c r="AH63" s="79"/>
      <c r="AI63" s="79"/>
      <c r="AJ63" s="79"/>
      <c r="AK63" s="79"/>
      <c r="AL63" s="79"/>
      <c r="AM63" s="79"/>
      <c r="AN63" s="79"/>
      <c r="AO63" s="79"/>
      <c r="AP63" s="79"/>
      <c r="AQ63" s="79"/>
      <c r="AR63" s="79"/>
      <c r="AS63" s="79"/>
      <c r="AT63" s="79"/>
      <c r="AU63" s="79"/>
      <c r="AV63" s="79"/>
      <c r="AW63" s="79"/>
      <c r="AX63" s="79"/>
      <c r="AY63" s="79"/>
      <c r="AZ63" s="80"/>
      <c r="BA63" s="79"/>
      <c r="BB63" s="79"/>
      <c r="BC63" s="79"/>
      <c r="BD63" s="79"/>
      <c r="BE63" s="80"/>
    </row>
    <row r="64" spans="1:57" s="81" customFormat="1" ht="26.25" thickBot="1" x14ac:dyDescent="0.25">
      <c r="A64" s="75"/>
      <c r="B64" s="82" t="s">
        <v>166</v>
      </c>
      <c r="C64" s="84"/>
      <c r="D64" s="84"/>
      <c r="E64" s="84"/>
      <c r="F64" s="84"/>
      <c r="G64" s="86" t="s">
        <v>388</v>
      </c>
      <c r="H64" s="86"/>
      <c r="I64" s="86"/>
      <c r="J64" s="86"/>
      <c r="K64" s="86"/>
      <c r="L64" s="86"/>
      <c r="M64" s="86"/>
      <c r="N64" s="86"/>
      <c r="O64" s="86"/>
      <c r="P64" s="86"/>
      <c r="Q64" s="86"/>
      <c r="R64" s="86"/>
      <c r="S64" s="86"/>
      <c r="T64" s="86"/>
      <c r="U64" s="86"/>
      <c r="V64" s="86"/>
      <c r="W64" s="86"/>
      <c r="X64" s="86"/>
      <c r="Y64" s="86"/>
      <c r="Z64" s="86"/>
      <c r="AA64" s="86"/>
      <c r="AB64" s="86"/>
      <c r="AC64" s="86"/>
      <c r="AD64" s="86"/>
      <c r="AE64" s="86"/>
      <c r="AF64" s="86"/>
      <c r="AG64" s="86"/>
      <c r="AH64" s="86"/>
      <c r="AI64" s="86"/>
      <c r="AJ64" s="86"/>
      <c r="AK64" s="86"/>
      <c r="AL64" s="86"/>
      <c r="AM64" s="86"/>
      <c r="AN64" s="86"/>
      <c r="AO64" s="86"/>
      <c r="AP64" s="86"/>
      <c r="AQ64" s="86"/>
      <c r="AR64" s="86"/>
      <c r="AS64" s="86"/>
      <c r="AT64" s="86"/>
      <c r="AU64" s="86"/>
      <c r="AV64" s="86"/>
      <c r="AW64" s="86"/>
      <c r="AX64" s="86"/>
      <c r="AY64" s="86"/>
      <c r="AZ64" s="88"/>
      <c r="BA64" s="86"/>
      <c r="BB64" s="86"/>
      <c r="BC64" s="86"/>
      <c r="BD64" s="86"/>
      <c r="BE64" s="88"/>
    </row>
    <row r="65" spans="1:57" s="81" customFormat="1" x14ac:dyDescent="0.2">
      <c r="A65" s="75"/>
      <c r="B65" s="76" t="s">
        <v>143</v>
      </c>
      <c r="C65" s="77"/>
      <c r="D65" s="77"/>
      <c r="E65" s="77"/>
      <c r="F65" s="77"/>
      <c r="G65" s="79">
        <f>SUM(99+36.52)</f>
        <v>135.52000000000001</v>
      </c>
      <c r="H65" s="79"/>
      <c r="I65" s="79"/>
      <c r="J65" s="79"/>
      <c r="K65" s="79"/>
      <c r="L65" s="79"/>
      <c r="M65" s="79"/>
      <c r="N65" s="79"/>
      <c r="O65" s="79"/>
      <c r="P65" s="79"/>
      <c r="Q65" s="79"/>
      <c r="R65" s="79"/>
      <c r="S65" s="79"/>
      <c r="T65" s="79"/>
      <c r="U65" s="79"/>
      <c r="V65" s="79"/>
      <c r="W65" s="79"/>
      <c r="X65" s="79"/>
      <c r="Y65" s="79"/>
      <c r="Z65" s="79"/>
      <c r="AA65" s="79"/>
      <c r="AB65" s="79"/>
      <c r="AC65" s="79"/>
      <c r="AD65" s="79"/>
      <c r="AE65" s="79"/>
      <c r="AF65" s="79"/>
      <c r="AG65" s="79"/>
      <c r="AH65" s="79"/>
      <c r="AI65" s="79"/>
      <c r="AJ65" s="79"/>
      <c r="AK65" s="79"/>
      <c r="AL65" s="79"/>
      <c r="AM65" s="79"/>
      <c r="AN65" s="79"/>
      <c r="AO65" s="79"/>
      <c r="AP65" s="79"/>
      <c r="AQ65" s="79"/>
      <c r="AR65" s="79"/>
      <c r="AS65" s="79"/>
      <c r="AT65" s="79"/>
      <c r="AU65" s="79"/>
      <c r="AV65" s="79"/>
      <c r="AW65" s="79"/>
      <c r="AX65" s="79"/>
      <c r="AY65" s="79"/>
      <c r="AZ65" s="80"/>
      <c r="BA65" s="79"/>
      <c r="BB65" s="79"/>
      <c r="BC65" s="79"/>
      <c r="BD65" s="79"/>
      <c r="BE65" s="80"/>
    </row>
    <row r="66" spans="1:57" s="81" customFormat="1" ht="26.25" thickBot="1" x14ac:dyDescent="0.25">
      <c r="A66" s="75"/>
      <c r="B66" s="82" t="s">
        <v>166</v>
      </c>
      <c r="C66" s="84"/>
      <c r="D66" s="84"/>
      <c r="E66" s="84"/>
      <c r="F66" s="84"/>
      <c r="G66" s="86" t="s">
        <v>389</v>
      </c>
      <c r="H66" s="86"/>
      <c r="I66" s="86"/>
      <c r="J66" s="86"/>
      <c r="K66" s="86"/>
      <c r="L66" s="86"/>
      <c r="M66" s="86"/>
      <c r="N66" s="86"/>
      <c r="O66" s="86"/>
      <c r="P66" s="86"/>
      <c r="Q66" s="86"/>
      <c r="R66" s="86"/>
      <c r="S66" s="86"/>
      <c r="T66" s="86"/>
      <c r="U66" s="86"/>
      <c r="V66" s="86"/>
      <c r="W66" s="86"/>
      <c r="X66" s="86"/>
      <c r="Y66" s="86"/>
      <c r="Z66" s="86"/>
      <c r="AA66" s="86"/>
      <c r="AB66" s="86"/>
      <c r="AC66" s="86"/>
      <c r="AD66" s="86"/>
      <c r="AE66" s="86"/>
      <c r="AF66" s="86"/>
      <c r="AG66" s="86"/>
      <c r="AH66" s="86"/>
      <c r="AI66" s="86"/>
      <c r="AJ66" s="86"/>
      <c r="AK66" s="86"/>
      <c r="AL66" s="86"/>
      <c r="AM66" s="86"/>
      <c r="AN66" s="86"/>
      <c r="AO66" s="86"/>
      <c r="AP66" s="86"/>
      <c r="AQ66" s="86"/>
      <c r="AR66" s="86"/>
      <c r="AS66" s="86"/>
      <c r="AT66" s="86"/>
      <c r="AU66" s="86"/>
      <c r="AV66" s="86"/>
      <c r="AW66" s="86"/>
      <c r="AX66" s="86"/>
      <c r="AY66" s="86"/>
      <c r="AZ66" s="88"/>
      <c r="BA66" s="86"/>
      <c r="BB66" s="86"/>
      <c r="BC66" s="86"/>
      <c r="BD66" s="86"/>
      <c r="BE66" s="88"/>
    </row>
    <row r="67" spans="1:57" s="81" customFormat="1" x14ac:dyDescent="0.2">
      <c r="A67" s="75"/>
      <c r="B67" s="76" t="s">
        <v>144</v>
      </c>
      <c r="C67" s="77"/>
      <c r="D67" s="77"/>
      <c r="E67" s="77"/>
      <c r="F67" s="77"/>
      <c r="G67" s="79"/>
      <c r="H67" s="79"/>
      <c r="I67" s="79"/>
      <c r="J67" s="79"/>
      <c r="K67" s="79"/>
      <c r="L67" s="79"/>
      <c r="M67" s="79"/>
      <c r="N67" s="79"/>
      <c r="O67" s="79"/>
      <c r="P67" s="79"/>
      <c r="Q67" s="79"/>
      <c r="R67" s="79"/>
      <c r="S67" s="79"/>
      <c r="T67" s="79"/>
      <c r="U67" s="79"/>
      <c r="V67" s="79"/>
      <c r="W67" s="79"/>
      <c r="X67" s="79"/>
      <c r="Y67" s="79"/>
      <c r="Z67" s="79"/>
      <c r="AA67" s="79"/>
      <c r="AB67" s="79"/>
      <c r="AC67" s="79"/>
      <c r="AD67" s="79"/>
      <c r="AE67" s="79"/>
      <c r="AF67" s="79"/>
      <c r="AG67" s="79"/>
      <c r="AH67" s="79"/>
      <c r="AI67" s="79"/>
      <c r="AJ67" s="79"/>
      <c r="AK67" s="79"/>
      <c r="AL67" s="79"/>
      <c r="AM67" s="79"/>
      <c r="AN67" s="79"/>
      <c r="AO67" s="79"/>
      <c r="AP67" s="79"/>
      <c r="AQ67" s="79"/>
      <c r="AR67" s="79"/>
      <c r="AS67" s="79"/>
      <c r="AT67" s="79"/>
      <c r="AU67" s="79"/>
      <c r="AV67" s="79"/>
      <c r="AW67" s="79"/>
      <c r="AX67" s="79"/>
      <c r="AY67" s="79"/>
      <c r="AZ67" s="80"/>
      <c r="BA67" s="79"/>
      <c r="BB67" s="79"/>
      <c r="BC67" s="79"/>
      <c r="BD67" s="79"/>
      <c r="BE67" s="80"/>
    </row>
    <row r="68" spans="1:57" s="81" customFormat="1" ht="13.5" thickBot="1" x14ac:dyDescent="0.25">
      <c r="A68" s="75"/>
      <c r="B68" s="82" t="s">
        <v>166</v>
      </c>
      <c r="C68" s="84"/>
      <c r="D68" s="84"/>
      <c r="E68" s="84"/>
      <c r="F68" s="84"/>
      <c r="G68" s="86"/>
      <c r="H68" s="86"/>
      <c r="I68" s="86"/>
      <c r="J68" s="86"/>
      <c r="K68" s="86"/>
      <c r="L68" s="86"/>
      <c r="M68" s="86"/>
      <c r="N68" s="86"/>
      <c r="O68" s="86"/>
      <c r="P68" s="86"/>
      <c r="Q68" s="86"/>
      <c r="R68" s="86"/>
      <c r="S68" s="86"/>
      <c r="T68" s="86"/>
      <c r="U68" s="86"/>
      <c r="V68" s="86"/>
      <c r="W68" s="86"/>
      <c r="X68" s="86"/>
      <c r="Y68" s="86"/>
      <c r="Z68" s="86"/>
      <c r="AA68" s="86"/>
      <c r="AB68" s="86"/>
      <c r="AC68" s="86"/>
      <c r="AD68" s="86"/>
      <c r="AE68" s="86"/>
      <c r="AF68" s="86"/>
      <c r="AG68" s="86"/>
      <c r="AH68" s="86"/>
      <c r="AI68" s="86"/>
      <c r="AJ68" s="86"/>
      <c r="AK68" s="86"/>
      <c r="AL68" s="86"/>
      <c r="AM68" s="86"/>
      <c r="AN68" s="86"/>
      <c r="AO68" s="86"/>
      <c r="AP68" s="86"/>
      <c r="AQ68" s="86"/>
      <c r="AR68" s="86"/>
      <c r="AS68" s="86"/>
      <c r="AT68" s="86"/>
      <c r="AU68" s="86"/>
      <c r="AV68" s="86"/>
      <c r="AW68" s="86"/>
      <c r="AX68" s="86"/>
      <c r="AY68" s="86"/>
      <c r="AZ68" s="88"/>
      <c r="BA68" s="86"/>
      <c r="BB68" s="86"/>
      <c r="BC68" s="86"/>
      <c r="BD68" s="86"/>
      <c r="BE68" s="88"/>
    </row>
    <row r="69" spans="1:57" s="81" customFormat="1" x14ac:dyDescent="0.2">
      <c r="A69" s="75"/>
      <c r="B69" s="76" t="s">
        <v>145</v>
      </c>
      <c r="C69" s="77"/>
      <c r="D69" s="77"/>
      <c r="E69" s="77"/>
      <c r="F69" s="77"/>
      <c r="G69" s="79"/>
      <c r="H69" s="79"/>
      <c r="I69" s="79"/>
      <c r="J69" s="79"/>
      <c r="K69" s="79"/>
      <c r="L69" s="79"/>
      <c r="M69" s="79"/>
      <c r="N69" s="79"/>
      <c r="O69" s="79"/>
      <c r="P69" s="79"/>
      <c r="Q69" s="79"/>
      <c r="R69" s="79"/>
      <c r="S69" s="79"/>
      <c r="T69" s="79"/>
      <c r="U69" s="79"/>
      <c r="V69" s="79"/>
      <c r="W69" s="79"/>
      <c r="X69" s="79"/>
      <c r="Y69" s="79"/>
      <c r="Z69" s="79"/>
      <c r="AA69" s="79"/>
      <c r="AB69" s="79"/>
      <c r="AC69" s="79"/>
      <c r="AD69" s="79"/>
      <c r="AE69" s="79"/>
      <c r="AF69" s="79"/>
      <c r="AG69" s="79"/>
      <c r="AH69" s="79"/>
      <c r="AI69" s="79"/>
      <c r="AJ69" s="79"/>
      <c r="AK69" s="79"/>
      <c r="AL69" s="79"/>
      <c r="AM69" s="79"/>
      <c r="AN69" s="79"/>
      <c r="AO69" s="79"/>
      <c r="AP69" s="79"/>
      <c r="AQ69" s="79"/>
      <c r="AR69" s="79"/>
      <c r="AS69" s="79"/>
      <c r="AT69" s="79"/>
      <c r="AU69" s="79"/>
      <c r="AV69" s="79"/>
      <c r="AW69" s="79"/>
      <c r="AX69" s="79"/>
      <c r="AY69" s="79"/>
      <c r="AZ69" s="80"/>
      <c r="BA69" s="79"/>
      <c r="BB69" s="79"/>
      <c r="BC69" s="79"/>
      <c r="BD69" s="79"/>
      <c r="BE69" s="80"/>
    </row>
    <row r="70" spans="1:57" s="81" customFormat="1" ht="13.5" thickBot="1" x14ac:dyDescent="0.25">
      <c r="A70" s="75"/>
      <c r="B70" s="82" t="s">
        <v>166</v>
      </c>
      <c r="C70" s="84"/>
      <c r="D70" s="84"/>
      <c r="E70" s="84"/>
      <c r="F70" s="84"/>
      <c r="G70" s="86"/>
      <c r="H70" s="86"/>
      <c r="I70" s="86"/>
      <c r="J70" s="86"/>
      <c r="K70" s="86"/>
      <c r="L70" s="86"/>
      <c r="M70" s="86"/>
      <c r="N70" s="86"/>
      <c r="O70" s="86"/>
      <c r="P70" s="86"/>
      <c r="Q70" s="86"/>
      <c r="R70" s="86"/>
      <c r="S70" s="86"/>
      <c r="T70" s="86"/>
      <c r="U70" s="86"/>
      <c r="V70" s="86"/>
      <c r="W70" s="86"/>
      <c r="X70" s="86"/>
      <c r="Y70" s="86"/>
      <c r="Z70" s="86"/>
      <c r="AA70" s="86"/>
      <c r="AB70" s="86"/>
      <c r="AC70" s="86"/>
      <c r="AD70" s="86"/>
      <c r="AE70" s="86"/>
      <c r="AF70" s="86"/>
      <c r="AG70" s="86"/>
      <c r="AH70" s="86"/>
      <c r="AI70" s="86"/>
      <c r="AJ70" s="86"/>
      <c r="AK70" s="86"/>
      <c r="AL70" s="86"/>
      <c r="AM70" s="86"/>
      <c r="AN70" s="86"/>
      <c r="AO70" s="86"/>
      <c r="AP70" s="86"/>
      <c r="AQ70" s="86"/>
      <c r="AR70" s="86"/>
      <c r="AS70" s="86"/>
      <c r="AT70" s="86"/>
      <c r="AU70" s="86"/>
      <c r="AV70" s="86"/>
      <c r="AW70" s="86"/>
      <c r="AX70" s="86"/>
      <c r="AY70" s="86"/>
      <c r="AZ70" s="88"/>
      <c r="BA70" s="86"/>
      <c r="BB70" s="86"/>
      <c r="BC70" s="86"/>
      <c r="BD70" s="86"/>
      <c r="BE70" s="88"/>
    </row>
    <row r="71" spans="1:57" s="81" customFormat="1" x14ac:dyDescent="0.2">
      <c r="A71" s="75"/>
      <c r="B71" s="76" t="s">
        <v>146</v>
      </c>
      <c r="C71" s="77"/>
      <c r="D71" s="77"/>
      <c r="E71" s="77"/>
      <c r="F71" s="77"/>
      <c r="G71" s="79"/>
      <c r="H71" s="79"/>
      <c r="I71" s="79"/>
      <c r="J71" s="79"/>
      <c r="K71" s="79"/>
      <c r="L71" s="79"/>
      <c r="M71" s="79"/>
      <c r="N71" s="79"/>
      <c r="O71" s="79"/>
      <c r="P71" s="79"/>
      <c r="Q71" s="79"/>
      <c r="R71" s="79"/>
      <c r="S71" s="79"/>
      <c r="T71" s="79"/>
      <c r="U71" s="79"/>
      <c r="V71" s="79"/>
      <c r="W71" s="79"/>
      <c r="X71" s="79"/>
      <c r="Y71" s="79"/>
      <c r="Z71" s="79"/>
      <c r="AA71" s="79"/>
      <c r="AB71" s="79"/>
      <c r="AC71" s="79"/>
      <c r="AD71" s="79"/>
      <c r="AE71" s="79"/>
      <c r="AF71" s="79"/>
      <c r="AG71" s="79"/>
      <c r="AH71" s="79"/>
      <c r="AI71" s="79"/>
      <c r="AJ71" s="79"/>
      <c r="AK71" s="79"/>
      <c r="AL71" s="79"/>
      <c r="AM71" s="79"/>
      <c r="AN71" s="79"/>
      <c r="AO71" s="79"/>
      <c r="AP71" s="79"/>
      <c r="AQ71" s="79"/>
      <c r="AR71" s="79"/>
      <c r="AS71" s="79"/>
      <c r="AT71" s="79"/>
      <c r="AU71" s="79"/>
      <c r="AV71" s="79"/>
      <c r="AW71" s="79"/>
      <c r="AX71" s="79"/>
      <c r="AY71" s="79"/>
      <c r="AZ71" s="80"/>
      <c r="BA71" s="79"/>
      <c r="BB71" s="79"/>
      <c r="BC71" s="79"/>
      <c r="BD71" s="79"/>
      <c r="BE71" s="80"/>
    </row>
    <row r="72" spans="1:57" s="81" customFormat="1" ht="13.5" thickBot="1" x14ac:dyDescent="0.25">
      <c r="A72" s="75"/>
      <c r="B72" s="82" t="s">
        <v>166</v>
      </c>
      <c r="C72" s="84"/>
      <c r="D72" s="84"/>
      <c r="E72" s="84"/>
      <c r="F72" s="84"/>
      <c r="G72" s="86"/>
      <c r="H72" s="86"/>
      <c r="I72" s="86"/>
      <c r="J72" s="86"/>
      <c r="K72" s="86"/>
      <c r="L72" s="86"/>
      <c r="M72" s="86"/>
      <c r="N72" s="86"/>
      <c r="O72" s="86"/>
      <c r="P72" s="86"/>
      <c r="Q72" s="86"/>
      <c r="R72" s="86"/>
      <c r="S72" s="86"/>
      <c r="T72" s="86"/>
      <c r="U72" s="86"/>
      <c r="V72" s="86"/>
      <c r="W72" s="86"/>
      <c r="X72" s="86"/>
      <c r="Y72" s="86"/>
      <c r="Z72" s="86"/>
      <c r="AA72" s="86"/>
      <c r="AB72" s="86"/>
      <c r="AC72" s="86"/>
      <c r="AD72" s="86"/>
      <c r="AE72" s="86"/>
      <c r="AF72" s="86"/>
      <c r="AG72" s="86"/>
      <c r="AH72" s="86"/>
      <c r="AI72" s="86"/>
      <c r="AJ72" s="86"/>
      <c r="AK72" s="86"/>
      <c r="AL72" s="86"/>
      <c r="AM72" s="86"/>
      <c r="AN72" s="86"/>
      <c r="AO72" s="86"/>
      <c r="AP72" s="86"/>
      <c r="AQ72" s="86"/>
      <c r="AR72" s="86"/>
      <c r="AS72" s="86"/>
      <c r="AT72" s="86"/>
      <c r="AU72" s="86"/>
      <c r="AV72" s="86"/>
      <c r="AW72" s="86"/>
      <c r="AX72" s="86"/>
      <c r="AY72" s="86"/>
      <c r="AZ72" s="88"/>
      <c r="BA72" s="86"/>
      <c r="BB72" s="86"/>
      <c r="BC72" s="86"/>
      <c r="BD72" s="86"/>
      <c r="BE72" s="88"/>
    </row>
    <row r="73" spans="1:57" s="81" customFormat="1" x14ac:dyDescent="0.2">
      <c r="A73" s="75"/>
      <c r="B73" s="89" t="s">
        <v>141</v>
      </c>
      <c r="C73" s="77"/>
      <c r="D73" s="77"/>
      <c r="E73" s="77"/>
      <c r="F73" s="77"/>
      <c r="G73" s="79"/>
      <c r="H73" s="79"/>
      <c r="I73" s="79"/>
      <c r="J73" s="79"/>
      <c r="K73" s="79"/>
      <c r="L73" s="79"/>
      <c r="M73" s="79"/>
      <c r="N73" s="79"/>
      <c r="O73" s="79"/>
      <c r="P73" s="79"/>
      <c r="Q73" s="79"/>
      <c r="R73" s="79"/>
      <c r="S73" s="79"/>
      <c r="T73" s="79"/>
      <c r="U73" s="79"/>
      <c r="V73" s="79"/>
      <c r="W73" s="79"/>
      <c r="X73" s="79"/>
      <c r="Y73" s="79"/>
      <c r="Z73" s="79"/>
      <c r="AA73" s="79"/>
      <c r="AB73" s="79"/>
      <c r="AC73" s="79"/>
      <c r="AD73" s="79"/>
      <c r="AE73" s="79"/>
      <c r="AF73" s="79"/>
      <c r="AG73" s="79"/>
      <c r="AH73" s="79"/>
      <c r="AI73" s="79"/>
      <c r="AJ73" s="79"/>
      <c r="AK73" s="79"/>
      <c r="AL73" s="79"/>
      <c r="AM73" s="79"/>
      <c r="AN73" s="79"/>
      <c r="AO73" s="79"/>
      <c r="AP73" s="79"/>
      <c r="AQ73" s="79"/>
      <c r="AR73" s="79"/>
      <c r="AS73" s="79"/>
      <c r="AT73" s="79"/>
      <c r="AU73" s="79"/>
      <c r="AV73" s="79"/>
      <c r="AW73" s="79"/>
      <c r="AX73" s="79"/>
      <c r="AY73" s="79"/>
      <c r="AZ73" s="80"/>
      <c r="BA73" s="79"/>
      <c r="BB73" s="79"/>
      <c r="BC73" s="79"/>
      <c r="BD73" s="79"/>
      <c r="BE73" s="80"/>
    </row>
    <row r="74" spans="1:57" s="81" customFormat="1" ht="13.5" thickBot="1" x14ac:dyDescent="0.25">
      <c r="A74" s="75"/>
      <c r="B74" s="82"/>
      <c r="C74" s="84"/>
      <c r="D74" s="84"/>
      <c r="E74" s="84"/>
      <c r="F74" s="84"/>
      <c r="G74" s="86"/>
      <c r="H74" s="86"/>
      <c r="I74" s="86"/>
      <c r="J74" s="86"/>
      <c r="K74" s="86"/>
      <c r="L74" s="86"/>
      <c r="M74" s="86"/>
      <c r="N74" s="86"/>
      <c r="O74" s="86"/>
      <c r="P74" s="86"/>
      <c r="Q74" s="86"/>
      <c r="R74" s="86"/>
      <c r="S74" s="86"/>
      <c r="T74" s="86"/>
      <c r="U74" s="86"/>
      <c r="V74" s="86"/>
      <c r="W74" s="86"/>
      <c r="X74" s="86"/>
      <c r="Y74" s="86"/>
      <c r="Z74" s="86"/>
      <c r="AA74" s="86"/>
      <c r="AB74" s="86"/>
      <c r="AC74" s="86"/>
      <c r="AD74" s="86"/>
      <c r="AE74" s="86"/>
      <c r="AF74" s="86"/>
      <c r="AG74" s="86"/>
      <c r="AH74" s="86"/>
      <c r="AI74" s="86"/>
      <c r="AJ74" s="86"/>
      <c r="AK74" s="86"/>
      <c r="AL74" s="86"/>
      <c r="AM74" s="86"/>
      <c r="AN74" s="86"/>
      <c r="AO74" s="86"/>
      <c r="AP74" s="86"/>
      <c r="AQ74" s="86"/>
      <c r="AR74" s="86"/>
      <c r="AS74" s="86"/>
      <c r="AT74" s="86"/>
      <c r="AU74" s="86"/>
      <c r="AV74" s="86"/>
      <c r="AW74" s="86"/>
      <c r="AX74" s="86"/>
      <c r="AY74" s="86"/>
      <c r="AZ74" s="88"/>
      <c r="BA74" s="86"/>
      <c r="BB74" s="86"/>
      <c r="BC74" s="86"/>
      <c r="BD74" s="86"/>
      <c r="BE74" s="88"/>
    </row>
    <row r="77" spans="1:57" x14ac:dyDescent="0.2">
      <c r="F77" s="17"/>
    </row>
    <row r="78" spans="1:57" x14ac:dyDescent="0.2">
      <c r="F78" s="17"/>
    </row>
    <row r="79" spans="1:57" x14ac:dyDescent="0.2">
      <c r="F79" s="17"/>
    </row>
    <row r="89" ht="23.25" customHeight="1" x14ac:dyDescent="0.2"/>
  </sheetData>
  <autoFilter ref="B6:BE6" xr:uid="{00000000-0009-0000-0000-000001000000}"/>
  <mergeCells count="6">
    <mergeCell ref="BC2:BF2"/>
    <mergeCell ref="F2:I2"/>
    <mergeCell ref="Q2:T2"/>
    <mergeCell ref="Z2:AC2"/>
    <mergeCell ref="AJ2:AM2"/>
    <mergeCell ref="AT2:AW2"/>
  </mergeCells>
  <phoneticPr fontId="2" type="noConversion"/>
  <hyperlinks>
    <hyperlink ref="AD12" r:id="rId1" xr:uid="{00000000-0004-0000-0100-000000000000}"/>
    <hyperlink ref="B1" location="'STREET VALUE'!D82" display="SOURCE OF THIS DATA" xr:uid="{00000000-0004-0000-0100-000001000000}"/>
    <hyperlink ref="BD9" location="'Photos of Invoices'!BB1" display="'Photos of Invoices'!BB1" xr:uid="{00000000-0004-0000-0100-000002000000}"/>
    <hyperlink ref="AK9" location="'Photos of Invoices'!AI1" display="1975" xr:uid="{00000000-0004-0000-0100-000003000000}"/>
    <hyperlink ref="G9" location="'Photos of Invoices'!E1" display="1972" xr:uid="{00000000-0004-0000-0100-000004000000}"/>
    <hyperlink ref="J9" location="'Photos of Invoices'!H1" display="1975" xr:uid="{00000000-0004-0000-0100-000005000000}"/>
    <hyperlink ref="AP9" location="'Photos of Invoices'!AN1" display="1980" xr:uid="{00000000-0004-0000-0100-000006000000}"/>
  </hyperlinks>
  <pageMargins left="0.75" right="0.75" top="1" bottom="1" header="0.5" footer="0.5"/>
  <pageSetup scale="32" fitToHeight="0" orientation="landscape" horizontalDpi="4294967293" r:id="rId2"/>
  <headerFooter alignWithMargins="0"/>
  <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15"/>
  <sheetViews>
    <sheetView workbookViewId="0">
      <selection activeCell="C2" sqref="C2"/>
    </sheetView>
  </sheetViews>
  <sheetFormatPr defaultRowHeight="12.75" x14ac:dyDescent="0.2"/>
  <cols>
    <col min="1" max="1" width="101.5703125" style="3" customWidth="1"/>
    <col min="2" max="16384" width="9.140625" style="3"/>
  </cols>
  <sheetData>
    <row r="1" spans="1:1" ht="21" thickBot="1" x14ac:dyDescent="0.25">
      <c r="A1" s="56" t="s">
        <v>56</v>
      </c>
    </row>
    <row r="2" spans="1:1" ht="25.5" x14ac:dyDescent="0.2">
      <c r="A2" s="53" t="s">
        <v>506</v>
      </c>
    </row>
    <row r="3" spans="1:1" ht="25.5" x14ac:dyDescent="0.2">
      <c r="A3" s="54" t="s">
        <v>395</v>
      </c>
    </row>
    <row r="4" spans="1:1" ht="63.75" x14ac:dyDescent="0.2">
      <c r="A4" s="54" t="s">
        <v>396</v>
      </c>
    </row>
    <row r="5" spans="1:1" ht="89.25" x14ac:dyDescent="0.2">
      <c r="A5" s="54" t="s">
        <v>397</v>
      </c>
    </row>
    <row r="6" spans="1:1" ht="81" customHeight="1" x14ac:dyDescent="0.2">
      <c r="A6" s="54" t="s">
        <v>526</v>
      </c>
    </row>
    <row r="7" spans="1:1" x14ac:dyDescent="0.2">
      <c r="A7" s="54"/>
    </row>
    <row r="8" spans="1:1" x14ac:dyDescent="0.2">
      <c r="A8" s="54"/>
    </row>
    <row r="9" spans="1:1" x14ac:dyDescent="0.2">
      <c r="A9" s="54"/>
    </row>
    <row r="10" spans="1:1" x14ac:dyDescent="0.2">
      <c r="A10" s="54"/>
    </row>
    <row r="11" spans="1:1" x14ac:dyDescent="0.2">
      <c r="A11" s="54"/>
    </row>
    <row r="12" spans="1:1" x14ac:dyDescent="0.2">
      <c r="A12" s="54"/>
    </row>
    <row r="13" spans="1:1" x14ac:dyDescent="0.2">
      <c r="A13" s="54"/>
    </row>
    <row r="14" spans="1:1" x14ac:dyDescent="0.2">
      <c r="A14" s="54"/>
    </row>
    <row r="15" spans="1:1" ht="13.5" thickBot="1" x14ac:dyDescent="0.25">
      <c r="A15" s="55"/>
    </row>
  </sheetData>
  <sheetProtection password="FBCD" sheet="1" objects="1" scenarios="1" selectLockedCells="1" selectUnlockedCells="1"/>
  <phoneticPr fontId="2" type="noConversion"/>
  <pageMargins left="0.75" right="0.75" top="1" bottom="1" header="0.5" footer="0.5"/>
  <headerFooter alignWithMargins="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C88"/>
  <sheetViews>
    <sheetView topLeftCell="A2" workbookViewId="0">
      <selection activeCell="H17" sqref="H17"/>
    </sheetView>
  </sheetViews>
  <sheetFormatPr defaultRowHeight="12.75" x14ac:dyDescent="0.2"/>
  <cols>
    <col min="1" max="1" width="6.5703125" style="1" customWidth="1"/>
    <col min="2" max="2" width="13.140625" style="1" customWidth="1"/>
    <col min="3" max="3" width="82.7109375" style="4" customWidth="1"/>
    <col min="4" max="16384" width="9.140625" style="4"/>
  </cols>
  <sheetData>
    <row r="1" spans="1:3" s="5" customFormat="1" ht="25.5" customHeight="1" thickBot="1" x14ac:dyDescent="0.25">
      <c r="A1" s="247" t="s">
        <v>63</v>
      </c>
      <c r="B1" s="255" t="s">
        <v>64</v>
      </c>
      <c r="C1" s="256" t="s">
        <v>23</v>
      </c>
    </row>
    <row r="2" spans="1:3" x14ac:dyDescent="0.2">
      <c r="A2" s="246" t="s">
        <v>65</v>
      </c>
      <c r="B2" s="252">
        <v>39980</v>
      </c>
      <c r="C2" s="248" t="s">
        <v>66</v>
      </c>
    </row>
    <row r="3" spans="1:3" ht="25.5" x14ac:dyDescent="0.2">
      <c r="A3" s="243" t="s">
        <v>73</v>
      </c>
      <c r="B3" s="253">
        <v>39984</v>
      </c>
      <c r="C3" s="249" t="s">
        <v>76</v>
      </c>
    </row>
    <row r="4" spans="1:3" ht="38.25" x14ac:dyDescent="0.2">
      <c r="A4" s="243" t="s">
        <v>95</v>
      </c>
      <c r="B4" s="253">
        <v>40006</v>
      </c>
      <c r="C4" s="249" t="s">
        <v>96</v>
      </c>
    </row>
    <row r="5" spans="1:3" ht="25.5" x14ac:dyDescent="0.2">
      <c r="A5" s="243" t="s">
        <v>107</v>
      </c>
      <c r="B5" s="253">
        <v>40118</v>
      </c>
      <c r="C5" s="249" t="s">
        <v>161</v>
      </c>
    </row>
    <row r="6" spans="1:3" ht="25.5" x14ac:dyDescent="0.2">
      <c r="A6" s="243" t="s">
        <v>160</v>
      </c>
      <c r="B6" s="253">
        <v>40349</v>
      </c>
      <c r="C6" s="249" t="s">
        <v>207</v>
      </c>
    </row>
    <row r="7" spans="1:3" x14ac:dyDescent="0.2">
      <c r="A7" s="243" t="s">
        <v>213</v>
      </c>
      <c r="B7" s="253">
        <v>40350</v>
      </c>
      <c r="C7" s="249" t="s">
        <v>214</v>
      </c>
    </row>
    <row r="8" spans="1:3" x14ac:dyDescent="0.2">
      <c r="A8" s="243" t="s">
        <v>224</v>
      </c>
      <c r="B8" s="253">
        <v>40395</v>
      </c>
      <c r="C8" s="249" t="s">
        <v>225</v>
      </c>
    </row>
    <row r="9" spans="1:3" x14ac:dyDescent="0.2">
      <c r="A9" s="243"/>
      <c r="B9" s="253"/>
      <c r="C9" s="249" t="s">
        <v>226</v>
      </c>
    </row>
    <row r="10" spans="1:3" x14ac:dyDescent="0.2">
      <c r="A10" s="243"/>
      <c r="B10" s="253"/>
      <c r="C10" s="249" t="s">
        <v>227</v>
      </c>
    </row>
    <row r="11" spans="1:3" x14ac:dyDescent="0.2">
      <c r="A11" s="243" t="s">
        <v>305</v>
      </c>
      <c r="B11" s="253">
        <v>40748</v>
      </c>
      <c r="C11" s="249" t="s">
        <v>306</v>
      </c>
    </row>
    <row r="12" spans="1:3" ht="25.5" x14ac:dyDescent="0.2">
      <c r="A12" s="243" t="s">
        <v>339</v>
      </c>
      <c r="B12" s="253">
        <v>40945</v>
      </c>
      <c r="C12" s="249" t="s">
        <v>338</v>
      </c>
    </row>
    <row r="13" spans="1:3" x14ac:dyDescent="0.2">
      <c r="A13" s="243" t="s">
        <v>348</v>
      </c>
      <c r="B13" s="253">
        <v>41300</v>
      </c>
      <c r="C13" s="249" t="s">
        <v>349</v>
      </c>
    </row>
    <row r="14" spans="1:3" x14ac:dyDescent="0.2">
      <c r="A14" s="243" t="s">
        <v>352</v>
      </c>
      <c r="B14" s="253">
        <v>41398</v>
      </c>
      <c r="C14" s="250" t="s">
        <v>391</v>
      </c>
    </row>
    <row r="15" spans="1:3" x14ac:dyDescent="0.2">
      <c r="A15" s="244" t="s">
        <v>516</v>
      </c>
      <c r="B15" s="253">
        <v>43142</v>
      </c>
      <c r="C15" s="250" t="s">
        <v>517</v>
      </c>
    </row>
    <row r="16" spans="1:3" ht="25.5" x14ac:dyDescent="0.2">
      <c r="A16" s="243" t="s">
        <v>522</v>
      </c>
      <c r="B16" s="253">
        <v>43798</v>
      </c>
      <c r="C16" s="250" t="s">
        <v>591</v>
      </c>
    </row>
    <row r="17" spans="1:3" x14ac:dyDescent="0.2">
      <c r="A17" s="244" t="s">
        <v>598</v>
      </c>
      <c r="B17" s="260" t="s">
        <v>599</v>
      </c>
      <c r="C17" s="250" t="s">
        <v>600</v>
      </c>
    </row>
    <row r="18" spans="1:3" x14ac:dyDescent="0.2">
      <c r="A18" s="244" t="s">
        <v>601</v>
      </c>
      <c r="B18" s="260" t="s">
        <v>599</v>
      </c>
      <c r="C18" s="250" t="s">
        <v>600</v>
      </c>
    </row>
    <row r="19" spans="1:3" x14ac:dyDescent="0.2">
      <c r="A19" s="244" t="s">
        <v>602</v>
      </c>
      <c r="B19" s="253">
        <v>44334</v>
      </c>
      <c r="C19" s="250" t="s">
        <v>603</v>
      </c>
    </row>
    <row r="20" spans="1:3" x14ac:dyDescent="0.2">
      <c r="A20" s="243"/>
      <c r="B20" s="253"/>
      <c r="C20" s="249"/>
    </row>
    <row r="21" spans="1:3" x14ac:dyDescent="0.2">
      <c r="A21" s="243"/>
      <c r="B21" s="253"/>
      <c r="C21" s="249"/>
    </row>
    <row r="22" spans="1:3" x14ac:dyDescent="0.2">
      <c r="A22" s="243"/>
      <c r="B22" s="253"/>
      <c r="C22" s="249"/>
    </row>
    <row r="23" spans="1:3" x14ac:dyDescent="0.2">
      <c r="A23" s="243"/>
      <c r="B23" s="253"/>
      <c r="C23" s="249"/>
    </row>
    <row r="24" spans="1:3" x14ac:dyDescent="0.2">
      <c r="A24" s="243"/>
      <c r="B24" s="253"/>
      <c r="C24" s="249"/>
    </row>
    <row r="25" spans="1:3" x14ac:dyDescent="0.2">
      <c r="A25" s="243"/>
      <c r="B25" s="253"/>
      <c r="C25" s="249"/>
    </row>
    <row r="26" spans="1:3" x14ac:dyDescent="0.2">
      <c r="A26" s="243"/>
      <c r="B26" s="253"/>
      <c r="C26" s="249"/>
    </row>
    <row r="27" spans="1:3" x14ac:dyDescent="0.2">
      <c r="A27" s="243"/>
      <c r="B27" s="253"/>
      <c r="C27" s="249"/>
    </row>
    <row r="28" spans="1:3" x14ac:dyDescent="0.2">
      <c r="A28" s="243"/>
      <c r="B28" s="253"/>
      <c r="C28" s="249"/>
    </row>
    <row r="29" spans="1:3" x14ac:dyDescent="0.2">
      <c r="A29" s="243"/>
      <c r="B29" s="253"/>
      <c r="C29" s="249"/>
    </row>
    <row r="30" spans="1:3" x14ac:dyDescent="0.2">
      <c r="A30" s="243"/>
      <c r="B30" s="253"/>
      <c r="C30" s="249"/>
    </row>
    <row r="31" spans="1:3" x14ac:dyDescent="0.2">
      <c r="A31" s="243"/>
      <c r="B31" s="253"/>
      <c r="C31" s="249"/>
    </row>
    <row r="32" spans="1:3" x14ac:dyDescent="0.2">
      <c r="A32" s="243"/>
      <c r="B32" s="253"/>
      <c r="C32" s="249"/>
    </row>
    <row r="33" spans="1:3" x14ac:dyDescent="0.2">
      <c r="A33" s="243"/>
      <c r="B33" s="253"/>
      <c r="C33" s="249"/>
    </row>
    <row r="34" spans="1:3" x14ac:dyDescent="0.2">
      <c r="A34" s="243"/>
      <c r="B34" s="253"/>
      <c r="C34" s="249"/>
    </row>
    <row r="35" spans="1:3" x14ac:dyDescent="0.2">
      <c r="A35" s="243"/>
      <c r="B35" s="253"/>
      <c r="C35" s="249"/>
    </row>
    <row r="36" spans="1:3" ht="13.5" thickBot="1" x14ac:dyDescent="0.25">
      <c r="A36" s="245"/>
      <c r="B36" s="254"/>
      <c r="C36" s="251"/>
    </row>
    <row r="37" spans="1:3" x14ac:dyDescent="0.2">
      <c r="B37" s="6"/>
    </row>
    <row r="38" spans="1:3" x14ac:dyDescent="0.2">
      <c r="B38" s="6"/>
    </row>
    <row r="39" spans="1:3" x14ac:dyDescent="0.2">
      <c r="B39" s="6"/>
    </row>
    <row r="40" spans="1:3" x14ac:dyDescent="0.2">
      <c r="B40" s="6"/>
    </row>
    <row r="41" spans="1:3" x14ac:dyDescent="0.2">
      <c r="B41" s="6"/>
    </row>
    <row r="42" spans="1:3" x14ac:dyDescent="0.2">
      <c r="B42" s="6"/>
    </row>
    <row r="43" spans="1:3" x14ac:dyDescent="0.2">
      <c r="B43" s="6"/>
    </row>
    <row r="44" spans="1:3" x14ac:dyDescent="0.2">
      <c r="B44" s="6"/>
    </row>
    <row r="45" spans="1:3" x14ac:dyDescent="0.2">
      <c r="B45" s="6"/>
    </row>
    <row r="46" spans="1:3" x14ac:dyDescent="0.2">
      <c r="B46" s="6"/>
    </row>
    <row r="47" spans="1:3" x14ac:dyDescent="0.2">
      <c r="B47" s="6"/>
    </row>
    <row r="48" spans="1:3" x14ac:dyDescent="0.2">
      <c r="B48" s="6"/>
    </row>
    <row r="49" spans="2:2" x14ac:dyDescent="0.2">
      <c r="B49" s="6"/>
    </row>
    <row r="50" spans="2:2" x14ac:dyDescent="0.2">
      <c r="B50" s="6"/>
    </row>
    <row r="51" spans="2:2" x14ac:dyDescent="0.2">
      <c r="B51" s="6"/>
    </row>
    <row r="52" spans="2:2" x14ac:dyDescent="0.2">
      <c r="B52" s="6"/>
    </row>
    <row r="53" spans="2:2" x14ac:dyDescent="0.2">
      <c r="B53" s="6"/>
    </row>
    <row r="54" spans="2:2" x14ac:dyDescent="0.2">
      <c r="B54" s="6"/>
    </row>
    <row r="55" spans="2:2" x14ac:dyDescent="0.2">
      <c r="B55" s="6"/>
    </row>
    <row r="56" spans="2:2" x14ac:dyDescent="0.2">
      <c r="B56" s="6"/>
    </row>
    <row r="57" spans="2:2" x14ac:dyDescent="0.2">
      <c r="B57" s="6"/>
    </row>
    <row r="58" spans="2:2" x14ac:dyDescent="0.2">
      <c r="B58" s="6"/>
    </row>
    <row r="59" spans="2:2" x14ac:dyDescent="0.2">
      <c r="B59" s="6"/>
    </row>
    <row r="60" spans="2:2" x14ac:dyDescent="0.2">
      <c r="B60" s="6"/>
    </row>
    <row r="61" spans="2:2" x14ac:dyDescent="0.2">
      <c r="B61" s="6"/>
    </row>
    <row r="62" spans="2:2" x14ac:dyDescent="0.2">
      <c r="B62" s="6"/>
    </row>
    <row r="63" spans="2:2" x14ac:dyDescent="0.2">
      <c r="B63" s="6"/>
    </row>
    <row r="64" spans="2:2" x14ac:dyDescent="0.2">
      <c r="B64" s="6"/>
    </row>
    <row r="65" spans="2:2" x14ac:dyDescent="0.2">
      <c r="B65" s="6"/>
    </row>
    <row r="66" spans="2:2" x14ac:dyDescent="0.2">
      <c r="B66" s="6"/>
    </row>
    <row r="67" spans="2:2" x14ac:dyDescent="0.2">
      <c r="B67" s="6"/>
    </row>
    <row r="68" spans="2:2" x14ac:dyDescent="0.2">
      <c r="B68" s="6"/>
    </row>
    <row r="69" spans="2:2" x14ac:dyDescent="0.2">
      <c r="B69" s="6"/>
    </row>
    <row r="70" spans="2:2" x14ac:dyDescent="0.2">
      <c r="B70" s="6"/>
    </row>
    <row r="71" spans="2:2" x14ac:dyDescent="0.2">
      <c r="B71" s="6"/>
    </row>
    <row r="72" spans="2:2" x14ac:dyDescent="0.2">
      <c r="B72" s="6"/>
    </row>
    <row r="73" spans="2:2" x14ac:dyDescent="0.2">
      <c r="B73" s="6"/>
    </row>
    <row r="74" spans="2:2" x14ac:dyDescent="0.2">
      <c r="B74" s="6"/>
    </row>
    <row r="75" spans="2:2" x14ac:dyDescent="0.2">
      <c r="B75" s="6"/>
    </row>
    <row r="76" spans="2:2" x14ac:dyDescent="0.2">
      <c r="B76" s="6"/>
    </row>
    <row r="77" spans="2:2" x14ac:dyDescent="0.2">
      <c r="B77" s="6"/>
    </row>
    <row r="78" spans="2:2" x14ac:dyDescent="0.2">
      <c r="B78" s="6"/>
    </row>
    <row r="79" spans="2:2" x14ac:dyDescent="0.2">
      <c r="B79" s="6"/>
    </row>
    <row r="80" spans="2:2" x14ac:dyDescent="0.2">
      <c r="B80" s="6"/>
    </row>
    <row r="81" spans="2:2" x14ac:dyDescent="0.2">
      <c r="B81" s="6"/>
    </row>
    <row r="82" spans="2:2" x14ac:dyDescent="0.2">
      <c r="B82" s="6"/>
    </row>
    <row r="83" spans="2:2" x14ac:dyDescent="0.2">
      <c r="B83" s="6"/>
    </row>
    <row r="84" spans="2:2" x14ac:dyDescent="0.2">
      <c r="B84" s="6"/>
    </row>
    <row r="85" spans="2:2" x14ac:dyDescent="0.2">
      <c r="B85" s="6"/>
    </row>
    <row r="86" spans="2:2" x14ac:dyDescent="0.2">
      <c r="B86" s="6"/>
    </row>
    <row r="87" spans="2:2" x14ac:dyDescent="0.2">
      <c r="B87" s="6"/>
    </row>
    <row r="88" spans="2:2" x14ac:dyDescent="0.2">
      <c r="B88" s="6"/>
    </row>
  </sheetData>
  <sheetProtection selectLockedCells="1" selectUnlockedCells="1"/>
  <phoneticPr fontId="2" type="noConversion"/>
  <pageMargins left="0.75" right="0.75" top="1" bottom="1" header="0.5" footer="0.5"/>
  <pageSetup orientation="portrait" horizontalDpi="4294967293" verticalDpi="0" r:id="rId1"/>
  <headerFooter alignWithMargins="0"/>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AR50"/>
  <sheetViews>
    <sheetView topLeftCell="J1" workbookViewId="0">
      <pane ySplit="3" topLeftCell="A19" activePane="bottomLeft" state="frozenSplit"/>
      <selection activeCell="AZ1" sqref="AZ1"/>
      <selection pane="bottomLeft" activeCell="Y21" sqref="Y21"/>
    </sheetView>
  </sheetViews>
  <sheetFormatPr defaultRowHeight="14.25" x14ac:dyDescent="0.2"/>
  <cols>
    <col min="1" max="1" width="30" customWidth="1"/>
    <col min="2" max="2" width="40.7109375" style="128" customWidth="1"/>
    <col min="3" max="3" width="38.42578125" style="128" customWidth="1"/>
    <col min="4" max="4" width="31" style="128" customWidth="1"/>
    <col min="5" max="5" width="32.140625" style="128" customWidth="1"/>
    <col min="6" max="6" width="23.140625" style="128" customWidth="1"/>
    <col min="7" max="7" width="20.5703125" style="128" customWidth="1"/>
    <col min="8" max="8" width="27" style="128" customWidth="1"/>
    <col min="9" max="9" width="19.5703125" style="128" customWidth="1"/>
    <col min="10" max="10" width="21.140625" style="128" customWidth="1"/>
    <col min="11" max="11" width="30" style="128" customWidth="1"/>
    <col min="12" max="12" width="16.85546875" style="128" customWidth="1"/>
    <col min="13" max="13" width="30" style="128" customWidth="1"/>
    <col min="14" max="14" width="22.28515625" style="128" customWidth="1"/>
    <col min="15" max="15" width="24.5703125" style="128" customWidth="1"/>
    <col min="16" max="16" width="20.140625" style="128" customWidth="1"/>
    <col min="17" max="17" width="22.28515625" style="128" customWidth="1"/>
    <col min="18" max="18" width="22.42578125" style="128" customWidth="1"/>
    <col min="19" max="19" width="17" style="128" customWidth="1"/>
    <col min="20" max="20" width="23.28515625" style="128" customWidth="1"/>
    <col min="21" max="21" width="18.5703125" style="128" customWidth="1"/>
    <col min="22" max="22" width="22.28515625" style="128" customWidth="1"/>
    <col min="23" max="23" width="19.5703125" style="128" customWidth="1"/>
    <col min="24" max="24" width="27.140625" style="128" customWidth="1"/>
    <col min="25" max="25" width="17.42578125" style="128" customWidth="1"/>
    <col min="26" max="26" width="17.85546875" style="128" customWidth="1"/>
    <col min="27" max="27" width="16.7109375" style="128" customWidth="1"/>
    <col min="28" max="30" width="19.140625" style="128" customWidth="1"/>
    <col min="31" max="32" width="25.7109375" style="128" customWidth="1"/>
    <col min="33" max="44" width="9.140625" style="128"/>
  </cols>
  <sheetData>
    <row r="1" spans="1:44" ht="26.25" thickBot="1" x14ac:dyDescent="0.25">
      <c r="A1" s="236" t="s">
        <v>540</v>
      </c>
      <c r="B1" s="163"/>
      <c r="C1" s="163"/>
      <c r="D1" s="163"/>
      <c r="E1" s="163"/>
      <c r="F1" s="163"/>
      <c r="G1" s="163"/>
      <c r="H1" s="163"/>
      <c r="I1" s="163"/>
      <c r="J1" s="163"/>
      <c r="K1" s="163"/>
      <c r="L1" s="163"/>
      <c r="M1" s="163"/>
      <c r="N1" s="163"/>
      <c r="O1" s="163"/>
      <c r="P1" s="163"/>
      <c r="Q1" s="163"/>
      <c r="R1" s="163"/>
      <c r="S1" s="163"/>
      <c r="T1" s="163"/>
      <c r="U1" s="163"/>
      <c r="V1" s="163"/>
      <c r="W1" s="163"/>
      <c r="X1" s="163"/>
      <c r="Y1" s="163"/>
      <c r="Z1" s="163"/>
      <c r="AA1" s="163"/>
      <c r="AB1" s="163"/>
      <c r="AC1" s="163"/>
      <c r="AD1" s="163"/>
      <c r="AE1" s="163">
        <v>25</v>
      </c>
      <c r="AF1" s="163"/>
    </row>
    <row r="2" spans="1:44" ht="26.25" thickBot="1" x14ac:dyDescent="0.25">
      <c r="A2" s="237" t="s">
        <v>542</v>
      </c>
      <c r="B2" s="319" t="s">
        <v>539</v>
      </c>
      <c r="C2" s="320"/>
      <c r="D2" s="320"/>
      <c r="E2" s="320"/>
      <c r="F2" s="320"/>
      <c r="G2" s="320"/>
      <c r="H2" s="320"/>
      <c r="I2" s="320"/>
      <c r="J2" s="320"/>
      <c r="K2" s="320"/>
      <c r="L2" s="320"/>
      <c r="M2" s="320"/>
      <c r="N2" s="320"/>
      <c r="O2" s="320"/>
      <c r="P2" s="320"/>
      <c r="Q2" s="320"/>
      <c r="R2" s="320"/>
      <c r="S2" s="320"/>
      <c r="T2" s="320"/>
      <c r="U2" s="320"/>
      <c r="V2" s="320"/>
      <c r="W2" s="320"/>
      <c r="X2" s="321"/>
      <c r="Y2" s="322" t="s">
        <v>538</v>
      </c>
      <c r="Z2" s="323"/>
      <c r="AA2" s="323"/>
      <c r="AB2" s="323"/>
      <c r="AC2" s="323"/>
      <c r="AD2" s="323"/>
      <c r="AE2" s="323"/>
      <c r="AF2" s="324"/>
    </row>
    <row r="3" spans="1:44" s="162" customFormat="1" ht="64.5" thickBot="1" x14ac:dyDescent="0.25">
      <c r="A3" s="238" t="s">
        <v>590</v>
      </c>
      <c r="B3" s="167" t="s">
        <v>544</v>
      </c>
      <c r="C3" s="165" t="s">
        <v>545</v>
      </c>
      <c r="D3" s="165" t="s">
        <v>546</v>
      </c>
      <c r="E3" s="165" t="s">
        <v>547</v>
      </c>
      <c r="F3" s="166" t="s">
        <v>548</v>
      </c>
      <c r="G3" s="166" t="s">
        <v>577</v>
      </c>
      <c r="H3" s="165" t="s">
        <v>549</v>
      </c>
      <c r="I3" s="166" t="s">
        <v>583</v>
      </c>
      <c r="J3" s="166" t="s">
        <v>584</v>
      </c>
      <c r="K3" s="167" t="s">
        <v>550</v>
      </c>
      <c r="L3" s="165" t="s">
        <v>582</v>
      </c>
      <c r="M3" s="166" t="s">
        <v>585</v>
      </c>
      <c r="N3" s="165" t="s">
        <v>551</v>
      </c>
      <c r="O3" s="166" t="s">
        <v>543</v>
      </c>
      <c r="P3" s="166" t="s">
        <v>587</v>
      </c>
      <c r="Q3" s="165" t="s">
        <v>552</v>
      </c>
      <c r="R3" s="165" t="s">
        <v>553</v>
      </c>
      <c r="S3" s="165" t="s">
        <v>554</v>
      </c>
      <c r="T3" s="166" t="s">
        <v>555</v>
      </c>
      <c r="U3" s="166" t="s">
        <v>556</v>
      </c>
      <c r="V3" s="166" t="s">
        <v>613</v>
      </c>
      <c r="W3" s="166" t="s">
        <v>557</v>
      </c>
      <c r="X3" s="166" t="s">
        <v>558</v>
      </c>
      <c r="Y3" s="164" t="s">
        <v>89</v>
      </c>
      <c r="Z3" s="164" t="s">
        <v>559</v>
      </c>
      <c r="AA3" s="164" t="s">
        <v>560</v>
      </c>
      <c r="AB3" s="164" t="s">
        <v>561</v>
      </c>
      <c r="AC3" s="164" t="s">
        <v>562</v>
      </c>
      <c r="AD3" s="164" t="s">
        <v>563</v>
      </c>
      <c r="AE3" s="164" t="s">
        <v>588</v>
      </c>
      <c r="AF3" s="164" t="s">
        <v>589</v>
      </c>
      <c r="AG3" s="161"/>
      <c r="AH3" s="161"/>
      <c r="AI3" s="161"/>
      <c r="AJ3" s="161"/>
      <c r="AK3" s="161"/>
      <c r="AL3" s="161"/>
      <c r="AM3" s="161"/>
      <c r="AN3" s="161"/>
      <c r="AO3" s="161"/>
      <c r="AP3" s="161"/>
      <c r="AQ3" s="161"/>
      <c r="AR3" s="161"/>
    </row>
    <row r="4" spans="1:44" s="137" customFormat="1" ht="21" thickBot="1" x14ac:dyDescent="0.35">
      <c r="B4" s="138" t="s">
        <v>541</v>
      </c>
      <c r="C4" s="139" t="s">
        <v>541</v>
      </c>
      <c r="D4" s="139" t="s">
        <v>541</v>
      </c>
      <c r="E4" s="140" t="s">
        <v>541</v>
      </c>
      <c r="F4" s="139" t="s">
        <v>541</v>
      </c>
      <c r="G4" s="139" t="s">
        <v>541</v>
      </c>
      <c r="H4" s="139" t="s">
        <v>541</v>
      </c>
      <c r="I4" s="139" t="s">
        <v>541</v>
      </c>
      <c r="J4" s="139" t="s">
        <v>541</v>
      </c>
      <c r="K4" s="139" t="s">
        <v>541</v>
      </c>
      <c r="L4" s="139" t="s">
        <v>541</v>
      </c>
      <c r="M4" s="139" t="s">
        <v>541</v>
      </c>
      <c r="N4" s="139" t="s">
        <v>541</v>
      </c>
      <c r="O4" s="139" t="s">
        <v>541</v>
      </c>
      <c r="P4" s="139" t="s">
        <v>541</v>
      </c>
      <c r="Q4" s="139" t="s">
        <v>541</v>
      </c>
      <c r="R4" s="139" t="s">
        <v>541</v>
      </c>
      <c r="S4" s="139" t="s">
        <v>541</v>
      </c>
      <c r="T4" s="139" t="s">
        <v>541</v>
      </c>
      <c r="U4" s="139" t="s">
        <v>541</v>
      </c>
      <c r="V4" s="139" t="s">
        <v>541</v>
      </c>
      <c r="W4" s="139" t="s">
        <v>541</v>
      </c>
      <c r="X4" s="139" t="s">
        <v>541</v>
      </c>
      <c r="Y4" s="139" t="s">
        <v>541</v>
      </c>
      <c r="Z4" s="139" t="s">
        <v>541</v>
      </c>
      <c r="AA4" s="139" t="s">
        <v>541</v>
      </c>
      <c r="AB4" s="139" t="s">
        <v>541</v>
      </c>
      <c r="AC4" s="139" t="s">
        <v>541</v>
      </c>
      <c r="AD4" s="139" t="s">
        <v>541</v>
      </c>
      <c r="AE4" s="139" t="s">
        <v>541</v>
      </c>
      <c r="AF4" s="139" t="s">
        <v>541</v>
      </c>
      <c r="AG4" s="141"/>
      <c r="AH4" s="141"/>
      <c r="AI4" s="141"/>
      <c r="AJ4" s="141"/>
      <c r="AK4" s="141"/>
      <c r="AL4" s="141"/>
      <c r="AM4" s="141"/>
      <c r="AN4" s="141"/>
      <c r="AO4" s="141"/>
      <c r="AP4" s="141"/>
      <c r="AQ4" s="141"/>
      <c r="AR4" s="141"/>
    </row>
    <row r="5" spans="1:44" s="156" customFormat="1" ht="18" x14ac:dyDescent="0.25">
      <c r="B5" s="168"/>
      <c r="C5" s="169"/>
      <c r="D5" s="169"/>
      <c r="E5" s="170" t="s">
        <v>536</v>
      </c>
      <c r="F5" s="169"/>
      <c r="G5" s="169"/>
      <c r="H5" s="169"/>
      <c r="I5" s="169"/>
      <c r="J5" s="169"/>
      <c r="K5" s="169"/>
      <c r="L5" s="169"/>
      <c r="M5" s="169" t="s">
        <v>536</v>
      </c>
      <c r="N5" s="169"/>
      <c r="O5" s="169"/>
      <c r="P5" s="169"/>
      <c r="Q5" s="169"/>
      <c r="R5" s="169"/>
      <c r="S5" s="169"/>
      <c r="T5" s="169"/>
      <c r="U5" s="169"/>
      <c r="V5" s="169"/>
      <c r="W5" s="169"/>
      <c r="X5" s="169"/>
      <c r="Y5" s="169"/>
      <c r="Z5" s="169"/>
      <c r="AA5" s="169"/>
      <c r="AB5" s="169"/>
      <c r="AC5" s="169"/>
      <c r="AD5" s="169"/>
      <c r="AE5" s="169" t="s">
        <v>536</v>
      </c>
      <c r="AF5" s="169" t="s">
        <v>536</v>
      </c>
      <c r="AG5" s="155"/>
      <c r="AH5" s="155"/>
      <c r="AI5" s="155"/>
      <c r="AJ5" s="155"/>
      <c r="AK5" s="155"/>
      <c r="AL5" s="155"/>
      <c r="AM5" s="155"/>
      <c r="AN5" s="155"/>
      <c r="AO5" s="155"/>
      <c r="AP5" s="155"/>
      <c r="AQ5" s="155"/>
      <c r="AR5" s="155"/>
    </row>
    <row r="6" spans="1:44" s="160" customFormat="1" ht="11.25" x14ac:dyDescent="0.2">
      <c r="B6" s="134"/>
      <c r="C6" s="131"/>
      <c r="D6" s="131"/>
      <c r="E6" s="153" t="s">
        <v>537</v>
      </c>
      <c r="F6" s="131"/>
      <c r="G6" s="131"/>
      <c r="H6" s="131"/>
      <c r="I6" s="131"/>
      <c r="J6" s="131"/>
      <c r="K6" s="131" t="s">
        <v>524</v>
      </c>
      <c r="L6" s="131"/>
      <c r="M6" s="131" t="s">
        <v>586</v>
      </c>
      <c r="N6" s="131"/>
      <c r="O6" s="131"/>
      <c r="P6" s="131"/>
      <c r="Q6" s="131"/>
      <c r="R6" s="131"/>
      <c r="S6" s="131"/>
      <c r="T6" s="131"/>
      <c r="U6" s="131"/>
      <c r="V6" s="131"/>
      <c r="W6" s="131"/>
      <c r="X6" s="131"/>
      <c r="Y6" s="131"/>
      <c r="Z6" s="131"/>
      <c r="AA6" s="131"/>
      <c r="AB6" s="131"/>
      <c r="AC6" s="131"/>
      <c r="AD6" s="131"/>
      <c r="AE6" s="131"/>
      <c r="AF6" s="131"/>
      <c r="AG6" s="153"/>
      <c r="AH6" s="153"/>
      <c r="AI6" s="153"/>
      <c r="AJ6" s="153"/>
      <c r="AK6" s="153"/>
      <c r="AL6" s="153"/>
      <c r="AM6" s="153"/>
      <c r="AN6" s="153"/>
      <c r="AO6" s="153"/>
      <c r="AP6" s="153"/>
      <c r="AQ6" s="153"/>
      <c r="AR6" s="153"/>
    </row>
    <row r="7" spans="1:44" x14ac:dyDescent="0.2">
      <c r="B7" s="133"/>
      <c r="C7" s="129"/>
      <c r="D7" s="129"/>
      <c r="F7" s="129"/>
      <c r="G7" s="129"/>
      <c r="H7" s="129"/>
      <c r="I7" s="129"/>
      <c r="J7" s="129"/>
      <c r="K7" s="129"/>
      <c r="L7" s="129"/>
      <c r="M7" s="129"/>
      <c r="N7" s="129"/>
      <c r="O7" s="129"/>
      <c r="P7" s="129"/>
      <c r="Q7" s="129"/>
      <c r="R7" s="129"/>
      <c r="S7" s="129"/>
      <c r="T7" s="129"/>
      <c r="U7" s="129"/>
      <c r="V7" s="129"/>
      <c r="W7" s="129"/>
      <c r="X7" s="129"/>
      <c r="Y7" s="129"/>
      <c r="Z7" s="129"/>
      <c r="AA7" s="129"/>
      <c r="AB7" s="129"/>
      <c r="AC7" s="129"/>
      <c r="AD7" s="129"/>
      <c r="AE7" s="129"/>
      <c r="AF7" s="129"/>
    </row>
    <row r="8" spans="1:44" x14ac:dyDescent="0.2">
      <c r="B8" s="133"/>
      <c r="C8" s="129"/>
      <c r="D8" s="129"/>
      <c r="F8" s="129"/>
      <c r="G8" s="129"/>
      <c r="H8" s="129"/>
      <c r="I8" s="129"/>
      <c r="J8" s="129"/>
      <c r="K8" s="129"/>
      <c r="L8" s="129"/>
      <c r="M8" s="129"/>
      <c r="N8" s="129"/>
      <c r="O8" s="129"/>
      <c r="P8" s="129"/>
      <c r="Q8" s="129"/>
      <c r="R8" s="129"/>
      <c r="S8" s="129"/>
      <c r="T8" s="129"/>
      <c r="U8" s="129"/>
      <c r="V8" s="129"/>
      <c r="W8" s="129"/>
      <c r="X8" s="129"/>
      <c r="Y8" s="129"/>
      <c r="Z8" s="129"/>
      <c r="AA8" s="129"/>
      <c r="AB8" s="129"/>
      <c r="AC8" s="129"/>
      <c r="AD8" s="129"/>
      <c r="AE8" s="129"/>
      <c r="AF8" s="129"/>
    </row>
    <row r="9" spans="1:44" x14ac:dyDescent="0.2">
      <c r="B9" s="133"/>
      <c r="C9" s="129"/>
      <c r="D9" s="129"/>
      <c r="F9" s="129"/>
      <c r="G9" s="129"/>
      <c r="H9" s="129"/>
      <c r="I9" s="129"/>
      <c r="J9" s="129"/>
      <c r="K9" s="129"/>
      <c r="L9" s="129"/>
      <c r="M9" s="129"/>
      <c r="N9" s="129"/>
      <c r="O9" s="129"/>
      <c r="P9" s="129"/>
      <c r="Q9" s="129"/>
      <c r="R9" s="129"/>
      <c r="S9" s="129"/>
      <c r="T9" s="129"/>
      <c r="U9" s="129"/>
      <c r="V9" s="129"/>
      <c r="W9" s="129"/>
      <c r="X9" s="129"/>
      <c r="Y9" s="129"/>
      <c r="Z9" s="129"/>
      <c r="AA9" s="129"/>
      <c r="AB9" s="129"/>
      <c r="AC9" s="129"/>
      <c r="AD9" s="129"/>
      <c r="AE9" s="129"/>
      <c r="AF9" s="129"/>
    </row>
    <row r="10" spans="1:44" x14ac:dyDescent="0.2">
      <c r="B10" s="133"/>
      <c r="C10" s="129"/>
      <c r="D10" s="129"/>
      <c r="F10" s="129"/>
      <c r="G10" s="129"/>
      <c r="H10" s="129"/>
      <c r="I10" s="129"/>
      <c r="J10" s="129"/>
      <c r="K10" s="129"/>
      <c r="L10" s="129"/>
      <c r="M10" s="129"/>
      <c r="N10" s="129"/>
      <c r="O10" s="129"/>
      <c r="P10" s="129"/>
      <c r="Q10" s="129"/>
      <c r="R10" s="129"/>
      <c r="S10" s="129"/>
      <c r="T10" s="129"/>
      <c r="U10" s="129"/>
      <c r="V10" s="129"/>
      <c r="W10" s="129"/>
      <c r="X10" s="129"/>
      <c r="Y10" s="129"/>
      <c r="Z10" s="129"/>
      <c r="AA10" s="129"/>
      <c r="AB10" s="129"/>
      <c r="AC10" s="129"/>
      <c r="AD10" s="129"/>
      <c r="AE10" s="129"/>
      <c r="AF10" s="129"/>
    </row>
    <row r="11" spans="1:44" ht="15" thickBot="1" x14ac:dyDescent="0.25">
      <c r="B11" s="135"/>
      <c r="C11" s="129"/>
      <c r="D11" s="129"/>
      <c r="F11" s="129"/>
      <c r="G11" s="129"/>
      <c r="H11" s="129"/>
      <c r="I11" s="129"/>
      <c r="J11" s="129"/>
      <c r="K11" s="129"/>
      <c r="L11" s="129"/>
      <c r="M11" s="129"/>
      <c r="N11" s="129"/>
      <c r="O11" s="129"/>
      <c r="P11" s="129"/>
      <c r="Q11" s="129"/>
      <c r="R11" s="129"/>
      <c r="S11" s="129"/>
      <c r="T11" s="129"/>
      <c r="U11" s="129"/>
      <c r="V11" s="129"/>
      <c r="W11" s="129"/>
      <c r="X11" s="129"/>
      <c r="Y11" s="129"/>
      <c r="Z11" s="129"/>
      <c r="AA11" s="129"/>
      <c r="AB11" s="129"/>
      <c r="AC11" s="129"/>
      <c r="AD11" s="129"/>
      <c r="AE11" s="129"/>
      <c r="AF11" s="129"/>
    </row>
    <row r="12" spans="1:44" x14ac:dyDescent="0.2">
      <c r="C12" s="129"/>
      <c r="D12" s="129"/>
      <c r="F12" s="129"/>
      <c r="G12" s="129"/>
      <c r="H12" s="129"/>
      <c r="I12" s="129"/>
      <c r="J12" s="129"/>
      <c r="K12" s="129"/>
      <c r="L12" s="129"/>
      <c r="M12" s="129"/>
      <c r="N12" s="129"/>
      <c r="O12" s="129"/>
      <c r="P12" s="129"/>
      <c r="Q12" s="129"/>
      <c r="R12" s="129"/>
      <c r="S12" s="129"/>
      <c r="T12" s="129"/>
      <c r="U12" s="129"/>
      <c r="V12" s="129"/>
      <c r="W12" s="129"/>
      <c r="X12" s="129"/>
      <c r="Y12" s="129"/>
      <c r="Z12" s="129"/>
      <c r="AA12" s="129"/>
      <c r="AB12" s="129"/>
      <c r="AC12" s="129"/>
      <c r="AD12" s="129"/>
      <c r="AE12" s="129"/>
      <c r="AF12" s="129"/>
    </row>
    <row r="13" spans="1:44" x14ac:dyDescent="0.2">
      <c r="C13" s="129"/>
      <c r="D13" s="129"/>
      <c r="F13" s="129"/>
      <c r="G13" s="129"/>
      <c r="H13" s="129"/>
      <c r="I13" s="129"/>
      <c r="J13" s="129"/>
      <c r="K13" s="129"/>
      <c r="L13" s="129"/>
      <c r="M13" s="129"/>
      <c r="N13" s="129"/>
      <c r="O13" s="129"/>
      <c r="P13" s="129"/>
      <c r="Q13" s="129"/>
      <c r="R13" s="129"/>
      <c r="S13" s="129"/>
      <c r="T13" s="129"/>
      <c r="U13" s="129"/>
      <c r="V13" s="129"/>
      <c r="W13" s="129"/>
      <c r="X13" s="129"/>
      <c r="Y13" s="129"/>
      <c r="Z13" s="129"/>
      <c r="AA13" s="129"/>
      <c r="AB13" s="129"/>
      <c r="AC13" s="129"/>
      <c r="AD13" s="129"/>
      <c r="AE13" s="129"/>
      <c r="AF13" s="129"/>
    </row>
    <row r="14" spans="1:44" x14ac:dyDescent="0.2">
      <c r="C14" s="129"/>
      <c r="D14" s="129"/>
      <c r="F14" s="129"/>
      <c r="G14" s="129"/>
      <c r="H14" s="129"/>
      <c r="I14" s="129"/>
      <c r="J14" s="129"/>
      <c r="K14" s="129"/>
      <c r="L14" s="129"/>
      <c r="M14" s="129"/>
      <c r="N14" s="129"/>
      <c r="O14" s="129"/>
      <c r="P14" s="129"/>
      <c r="Q14" s="129"/>
      <c r="R14" s="129"/>
      <c r="S14" s="129"/>
      <c r="T14" s="129"/>
      <c r="U14" s="129"/>
      <c r="V14" s="129"/>
      <c r="W14" s="129"/>
      <c r="X14" s="129"/>
      <c r="Y14" s="129"/>
      <c r="Z14" s="129"/>
      <c r="AA14" s="129"/>
      <c r="AB14" s="129"/>
      <c r="AC14" s="129"/>
      <c r="AD14" s="129"/>
      <c r="AE14" s="129"/>
      <c r="AF14" s="129"/>
    </row>
    <row r="15" spans="1:44" x14ac:dyDescent="0.2">
      <c r="C15" s="129"/>
      <c r="D15" s="129"/>
      <c r="F15" s="129"/>
      <c r="G15" s="129"/>
      <c r="H15" s="129"/>
      <c r="I15" s="129"/>
      <c r="J15" s="129"/>
      <c r="K15" s="129"/>
      <c r="L15" s="129"/>
      <c r="M15" s="129"/>
      <c r="N15" s="129"/>
      <c r="O15" s="129"/>
      <c r="P15" s="129"/>
      <c r="Q15" s="129"/>
      <c r="R15" s="129"/>
      <c r="S15" s="129"/>
      <c r="T15" s="129"/>
      <c r="U15" s="129"/>
      <c r="V15" s="129"/>
      <c r="W15" s="129"/>
      <c r="X15" s="129"/>
      <c r="Y15" s="129"/>
      <c r="Z15" s="129"/>
      <c r="AA15" s="129"/>
      <c r="AB15" s="129"/>
      <c r="AC15" s="129"/>
      <c r="AD15" s="129"/>
      <c r="AE15" s="129"/>
      <c r="AF15" s="129"/>
    </row>
    <row r="16" spans="1:44" x14ac:dyDescent="0.2">
      <c r="C16" s="129"/>
      <c r="D16" s="129"/>
      <c r="F16" s="129"/>
      <c r="G16" s="129"/>
      <c r="H16" s="129"/>
      <c r="I16" s="129"/>
      <c r="J16" s="129"/>
      <c r="K16" s="129"/>
      <c r="L16" s="129"/>
      <c r="M16" s="129"/>
      <c r="N16" s="129"/>
      <c r="O16" s="129"/>
      <c r="P16" s="129"/>
      <c r="Q16" s="129"/>
      <c r="R16" s="129"/>
      <c r="S16" s="129"/>
      <c r="T16" s="129"/>
      <c r="U16" s="129"/>
      <c r="V16" s="129"/>
      <c r="W16" s="129"/>
      <c r="X16" s="129"/>
      <c r="Y16" s="129"/>
      <c r="Z16" s="129"/>
      <c r="AA16" s="129"/>
      <c r="AB16" s="129"/>
      <c r="AC16" s="129"/>
      <c r="AD16" s="129"/>
      <c r="AE16" s="129"/>
      <c r="AF16" s="129"/>
    </row>
    <row r="17" spans="2:32" x14ac:dyDescent="0.2">
      <c r="C17" s="129"/>
      <c r="D17" s="129"/>
      <c r="F17" s="129"/>
      <c r="G17" s="129"/>
      <c r="H17" s="129"/>
      <c r="I17" s="129"/>
      <c r="J17" s="129"/>
      <c r="K17" s="129"/>
      <c r="L17" s="129"/>
      <c r="M17" s="129"/>
      <c r="N17" s="129"/>
      <c r="O17" s="129"/>
      <c r="P17" s="129"/>
      <c r="Q17" s="129"/>
      <c r="R17" s="129"/>
      <c r="S17" s="129"/>
      <c r="T17" s="129"/>
      <c r="U17" s="129"/>
      <c r="V17" s="129"/>
      <c r="W17" s="129"/>
      <c r="X17" s="129"/>
      <c r="Y17" s="129"/>
      <c r="Z17" s="129"/>
      <c r="AA17" s="129"/>
      <c r="AB17" s="129"/>
      <c r="AC17" s="129"/>
      <c r="AD17" s="129"/>
      <c r="AE17" s="129"/>
      <c r="AF17" s="129"/>
    </row>
    <row r="18" spans="2:32" x14ac:dyDescent="0.2">
      <c r="C18" s="129"/>
      <c r="D18" s="129"/>
      <c r="F18" s="129"/>
      <c r="G18" s="129"/>
      <c r="H18" s="129"/>
      <c r="I18" s="129"/>
      <c r="J18" s="129"/>
      <c r="K18" s="129"/>
      <c r="L18" s="129"/>
      <c r="M18" s="129"/>
      <c r="N18" s="129"/>
      <c r="O18" s="129"/>
      <c r="P18" s="129"/>
      <c r="Q18" s="129"/>
      <c r="R18" s="129"/>
      <c r="S18" s="129"/>
      <c r="T18" s="129"/>
      <c r="U18" s="129"/>
      <c r="V18" s="129"/>
      <c r="W18" s="129"/>
      <c r="X18" s="129"/>
      <c r="Y18" s="129"/>
      <c r="Z18" s="129"/>
      <c r="AA18" s="129"/>
      <c r="AB18" s="129"/>
      <c r="AC18" s="129"/>
      <c r="AD18" s="129"/>
      <c r="AE18" s="129"/>
      <c r="AF18" s="129"/>
    </row>
    <row r="19" spans="2:32" s="128" customFormat="1" x14ac:dyDescent="0.2">
      <c r="C19" s="129"/>
      <c r="D19" s="129"/>
      <c r="F19" s="129"/>
      <c r="G19" s="129"/>
      <c r="H19" s="129"/>
      <c r="I19" s="129"/>
      <c r="J19" s="129"/>
      <c r="K19" s="129"/>
      <c r="L19" s="129"/>
      <c r="M19" s="129"/>
      <c r="N19" s="129"/>
      <c r="O19" s="129"/>
      <c r="P19" s="129"/>
      <c r="Q19" s="129"/>
      <c r="R19" s="129"/>
      <c r="S19" s="129"/>
      <c r="T19" s="129"/>
      <c r="U19" s="129"/>
      <c r="V19" s="129"/>
      <c r="W19" s="129"/>
      <c r="X19" s="129"/>
      <c r="Y19" s="129"/>
      <c r="Z19" s="129"/>
      <c r="AA19" s="129"/>
      <c r="AB19" s="129"/>
      <c r="AC19" s="129"/>
      <c r="AD19" s="129"/>
      <c r="AE19" s="129"/>
      <c r="AF19" s="129"/>
    </row>
    <row r="20" spans="2:32" s="128" customFormat="1" ht="15" thickBot="1" x14ac:dyDescent="0.25">
      <c r="C20" s="132"/>
      <c r="D20" s="132"/>
      <c r="F20" s="132"/>
      <c r="G20" s="132"/>
      <c r="H20" s="132"/>
      <c r="I20" s="132"/>
      <c r="J20" s="132"/>
      <c r="K20" s="132"/>
      <c r="L20" s="132"/>
      <c r="M20" s="132"/>
      <c r="N20" s="132"/>
      <c r="O20" s="132"/>
      <c r="P20" s="132"/>
      <c r="Q20" s="132"/>
      <c r="R20" s="132"/>
      <c r="S20" s="132"/>
      <c r="T20" s="132"/>
      <c r="U20" s="132"/>
      <c r="V20" s="132"/>
      <c r="W20" s="132"/>
      <c r="X20" s="132"/>
      <c r="Y20" s="132"/>
      <c r="Z20" s="132"/>
      <c r="AA20" s="132"/>
      <c r="AB20" s="132"/>
      <c r="AC20" s="132"/>
      <c r="AD20" s="132"/>
      <c r="AE20" s="132"/>
      <c r="AF20" s="132"/>
    </row>
    <row r="21" spans="2:32" s="128" customFormat="1" ht="18" x14ac:dyDescent="0.2">
      <c r="G21" s="231" t="s">
        <v>188</v>
      </c>
      <c r="I21" s="233" t="s">
        <v>578</v>
      </c>
      <c r="K21" s="233" t="s">
        <v>578</v>
      </c>
      <c r="L21" s="231" t="s">
        <v>57</v>
      </c>
    </row>
    <row r="22" spans="2:32" s="128" customFormat="1" x14ac:dyDescent="0.2">
      <c r="G22" s="129"/>
      <c r="I22" s="234" t="s">
        <v>579</v>
      </c>
      <c r="K22" s="234" t="s">
        <v>579</v>
      </c>
      <c r="L22" s="131"/>
    </row>
    <row r="23" spans="2:32" s="128" customFormat="1" x14ac:dyDescent="0.2">
      <c r="G23" s="129"/>
      <c r="I23" s="234" t="s">
        <v>580</v>
      </c>
      <c r="K23" s="234" t="s">
        <v>580</v>
      </c>
      <c r="L23" s="232"/>
    </row>
    <row r="24" spans="2:32" s="128" customFormat="1" ht="16.5" thickBot="1" x14ac:dyDescent="0.25">
      <c r="G24" s="129"/>
      <c r="I24" s="235" t="s">
        <v>581</v>
      </c>
      <c r="J24" s="152"/>
      <c r="K24" s="235" t="s">
        <v>581</v>
      </c>
      <c r="L24" s="129"/>
      <c r="N24" s="152"/>
    </row>
    <row r="25" spans="2:32" s="128" customFormat="1" ht="15.75" x14ac:dyDescent="0.2">
      <c r="G25" s="129"/>
      <c r="J25" s="153"/>
      <c r="L25" s="129"/>
      <c r="N25" s="153"/>
      <c r="O25" s="152"/>
    </row>
    <row r="26" spans="2:32" s="128" customFormat="1" ht="15" x14ac:dyDescent="0.2">
      <c r="B26" s="157"/>
      <c r="C26" s="157"/>
      <c r="G26" s="129"/>
      <c r="L26" s="129"/>
    </row>
    <row r="27" spans="2:32" s="128" customFormat="1" ht="15" x14ac:dyDescent="0.2">
      <c r="B27" s="153"/>
      <c r="C27" s="153"/>
      <c r="G27" s="129"/>
      <c r="H27" s="157"/>
      <c r="L27" s="129"/>
    </row>
    <row r="28" spans="2:32" s="128" customFormat="1" x14ac:dyDescent="0.2">
      <c r="B28" s="154"/>
      <c r="C28" s="154"/>
      <c r="G28" s="129"/>
      <c r="L28" s="129"/>
    </row>
    <row r="29" spans="2:32" s="128" customFormat="1" ht="14.25" customHeight="1" x14ac:dyDescent="0.2">
      <c r="D29" s="157"/>
      <c r="E29" s="157"/>
      <c r="G29" s="129"/>
      <c r="L29" s="129"/>
    </row>
    <row r="30" spans="2:32" s="128" customFormat="1" x14ac:dyDescent="0.2">
      <c r="D30" s="153"/>
      <c r="E30" s="153"/>
      <c r="G30" s="129"/>
      <c r="L30" s="129"/>
    </row>
    <row r="31" spans="2:32" s="128" customFormat="1" ht="15.75" x14ac:dyDescent="0.2">
      <c r="E31" s="158"/>
      <c r="G31" s="129"/>
      <c r="I31" s="157"/>
      <c r="L31" s="129"/>
      <c r="Q31" s="152"/>
    </row>
    <row r="32" spans="2:32" s="128" customFormat="1" ht="15.75" x14ac:dyDescent="0.2">
      <c r="E32" s="154"/>
      <c r="G32" s="130"/>
      <c r="I32" s="153"/>
      <c r="L32" s="129"/>
      <c r="M32" s="152"/>
      <c r="Q32" s="153"/>
    </row>
    <row r="33" spans="2:32" s="128" customFormat="1" ht="16.5" thickBot="1" x14ac:dyDescent="0.25">
      <c r="G33" s="129"/>
      <c r="L33" s="132"/>
      <c r="M33" s="153"/>
      <c r="P33" s="152"/>
      <c r="Q33" s="159"/>
    </row>
    <row r="34" spans="2:32" s="128" customFormat="1" ht="15.75" x14ac:dyDescent="0.2">
      <c r="G34" s="129"/>
      <c r="P34" s="153"/>
      <c r="R34" s="152"/>
    </row>
    <row r="35" spans="2:32" s="128" customFormat="1" ht="16.5" thickBot="1" x14ac:dyDescent="0.25">
      <c r="F35" s="157"/>
      <c r="G35" s="132"/>
      <c r="O35" s="152"/>
      <c r="R35" s="153"/>
      <c r="S35" s="152"/>
    </row>
    <row r="36" spans="2:32" s="128" customFormat="1" x14ac:dyDescent="0.2">
      <c r="F36" s="153"/>
      <c r="O36" s="153"/>
      <c r="S36" s="153"/>
    </row>
    <row r="37" spans="2:32" s="128" customFormat="1" x14ac:dyDescent="0.2">
      <c r="F37" s="153"/>
      <c r="O37" s="153"/>
      <c r="S37" s="153"/>
    </row>
    <row r="38" spans="2:32" s="128" customFormat="1" ht="17.100000000000001" customHeight="1" x14ac:dyDescent="0.2">
      <c r="O38" s="153"/>
    </row>
    <row r="39" spans="2:32" s="128" customFormat="1" x14ac:dyDescent="0.2"/>
    <row r="40" spans="2:32" s="128" customFormat="1" x14ac:dyDescent="0.2"/>
    <row r="41" spans="2:32" s="128" customFormat="1" ht="15" x14ac:dyDescent="0.2">
      <c r="B41" s="157"/>
      <c r="C41" s="157"/>
    </row>
    <row r="42" spans="2:32" s="128" customFormat="1" x14ac:dyDescent="0.2"/>
    <row r="43" spans="2:32" s="128" customFormat="1" x14ac:dyDescent="0.2"/>
    <row r="44" spans="2:32" s="128" customFormat="1" x14ac:dyDescent="0.2"/>
    <row r="45" spans="2:32" s="128" customFormat="1" x14ac:dyDescent="0.2"/>
    <row r="46" spans="2:32" s="128" customFormat="1" x14ac:dyDescent="0.2"/>
    <row r="47" spans="2:32" s="128" customFormat="1" ht="15.75" x14ac:dyDescent="0.2">
      <c r="T47" s="152"/>
      <c r="U47" s="152"/>
      <c r="V47" s="152"/>
      <c r="W47" s="152"/>
      <c r="X47" s="152"/>
      <c r="Y47" s="152"/>
      <c r="Z47" s="152"/>
      <c r="AA47" s="152"/>
      <c r="AB47" s="152"/>
      <c r="AC47" s="152"/>
      <c r="AD47" s="152"/>
      <c r="AE47" s="152"/>
      <c r="AF47" s="152"/>
    </row>
    <row r="48" spans="2:32" s="128" customFormat="1" x14ac:dyDescent="0.2">
      <c r="T48" s="153"/>
      <c r="U48" s="153"/>
      <c r="V48" s="153"/>
      <c r="W48" s="153"/>
      <c r="X48" s="153"/>
      <c r="Y48" s="153"/>
      <c r="Z48" s="153"/>
      <c r="AA48" s="153"/>
      <c r="AB48" s="153"/>
      <c r="AC48" s="153"/>
      <c r="AD48" s="153"/>
      <c r="AE48" s="153"/>
      <c r="AF48" s="153"/>
    </row>
    <row r="49" spans="20:32" s="128" customFormat="1" x14ac:dyDescent="0.2">
      <c r="T49" s="131" t="s">
        <v>523</v>
      </c>
      <c r="U49" s="131" t="s">
        <v>523</v>
      </c>
      <c r="V49" s="131"/>
      <c r="W49" s="131" t="s">
        <v>523</v>
      </c>
      <c r="X49" s="131" t="s">
        <v>523</v>
      </c>
      <c r="Y49" s="131" t="s">
        <v>523</v>
      </c>
      <c r="Z49" s="131" t="s">
        <v>523</v>
      </c>
      <c r="AA49" s="131" t="s">
        <v>523</v>
      </c>
      <c r="AB49" s="131" t="s">
        <v>523</v>
      </c>
      <c r="AC49" s="131" t="s">
        <v>523</v>
      </c>
      <c r="AD49" s="131" t="s">
        <v>523</v>
      </c>
      <c r="AE49" s="131" t="s">
        <v>523</v>
      </c>
      <c r="AF49" s="131" t="s">
        <v>523</v>
      </c>
    </row>
    <row r="50" spans="20:32" s="128" customFormat="1" ht="15" thickBot="1" x14ac:dyDescent="0.25">
      <c r="T50" s="136" t="s">
        <v>525</v>
      </c>
      <c r="U50" s="136" t="s">
        <v>525</v>
      </c>
      <c r="V50" s="136"/>
      <c r="W50" s="136" t="s">
        <v>525</v>
      </c>
      <c r="X50" s="136" t="s">
        <v>525</v>
      </c>
      <c r="Y50" s="136" t="s">
        <v>525</v>
      </c>
      <c r="Z50" s="136" t="s">
        <v>525</v>
      </c>
      <c r="AA50" s="136" t="s">
        <v>525</v>
      </c>
      <c r="AB50" s="136" t="s">
        <v>525</v>
      </c>
      <c r="AC50" s="136" t="s">
        <v>525</v>
      </c>
      <c r="AD50" s="136" t="s">
        <v>525</v>
      </c>
      <c r="AE50" s="136" t="s">
        <v>525</v>
      </c>
      <c r="AF50" s="136" t="s">
        <v>525</v>
      </c>
    </row>
  </sheetData>
  <sheetProtection selectLockedCells="1"/>
  <mergeCells count="2">
    <mergeCell ref="B2:X2"/>
    <mergeCell ref="Y2:AF2"/>
  </mergeCells>
  <hyperlinks>
    <hyperlink ref="T50" location="'Photos of Rosettes'!A1" display="APPEARS TO BE SAME AS C-7" xr:uid="{00000000-0004-0000-0500-000000000000}"/>
    <hyperlink ref="T4" location="STATS!A1" display="GO TO STATS SHEET" xr:uid="{00000000-0004-0000-0500-000001000000}"/>
    <hyperlink ref="S4" location="STATS!A1" display="GO TO STATS SHEET" xr:uid="{00000000-0004-0000-0500-000002000000}"/>
    <hyperlink ref="R4" location="STATS!A1" display="GO TO STATS SHEET" xr:uid="{00000000-0004-0000-0500-000003000000}"/>
    <hyperlink ref="Q4" location="STATS!A1" display="GO TO STATS SHEET" xr:uid="{00000000-0004-0000-0500-000004000000}"/>
    <hyperlink ref="P4" location="STATS!A1" display="GO TO STATS SHEET" xr:uid="{00000000-0004-0000-0500-000005000000}"/>
    <hyperlink ref="O4" location="STATS!A1" display="GO TO STATS SHEET" xr:uid="{00000000-0004-0000-0500-000006000000}"/>
    <hyperlink ref="N4" location="STATS!A1" display="GO TO STATS SHEET" xr:uid="{00000000-0004-0000-0500-000007000000}"/>
    <hyperlink ref="M4" location="STATS!A1" display="GO TO STATS SHEET" xr:uid="{00000000-0004-0000-0500-000008000000}"/>
    <hyperlink ref="L4" location="STATS!A1" display="GO TO STATS SHEET" xr:uid="{00000000-0004-0000-0500-000009000000}"/>
    <hyperlink ref="K4" location="STATS!A1" display="GO TO STATS SHEET" xr:uid="{00000000-0004-0000-0500-00000A000000}"/>
    <hyperlink ref="J4" location="STATS!A1" display="GO TO STATS SHEET" xr:uid="{00000000-0004-0000-0500-00000B000000}"/>
    <hyperlink ref="I4" location="STATS!A1" display="GO TO STATS SHEET" xr:uid="{00000000-0004-0000-0500-00000C000000}"/>
    <hyperlink ref="H4" location="STATS!A1" display="GO TO STATS SHEET" xr:uid="{00000000-0004-0000-0500-00000D000000}"/>
    <hyperlink ref="G4" location="STATS!A1" display="GO TO STATS SHEET" xr:uid="{00000000-0004-0000-0500-00000E000000}"/>
    <hyperlink ref="F4" location="STATS!A1" display="GO TO STATS SHEET" xr:uid="{00000000-0004-0000-0500-00000F000000}"/>
    <hyperlink ref="E4" location="STATS!A1" display="GO TO STATS SHEET" xr:uid="{00000000-0004-0000-0500-000010000000}"/>
    <hyperlink ref="C4" location="STATS!A1" display="GO TO STATS SHEET" xr:uid="{00000000-0004-0000-0500-000011000000}"/>
    <hyperlink ref="U50" location="'Photos of Rosettes'!A1" display="APPEARS TO BE SAME AS C-7" xr:uid="{00000000-0004-0000-0500-000012000000}"/>
    <hyperlink ref="U4" location="STATS!A1" display="GO TO STATS SHEET" xr:uid="{00000000-0004-0000-0500-000013000000}"/>
    <hyperlink ref="W50" location="'Photos of Rosettes'!A1" display="APPEARS TO BE SAME AS C-7" xr:uid="{00000000-0004-0000-0500-000014000000}"/>
    <hyperlink ref="W4" location="STATS!A1" display="GO TO STATS SHEET" xr:uid="{00000000-0004-0000-0500-000015000000}"/>
    <hyperlink ref="X50" location="'Photos of Rosettes'!A1" display="APPEARS TO BE SAME AS C-7" xr:uid="{00000000-0004-0000-0500-000016000000}"/>
    <hyperlink ref="X4" location="STATS!A1" display="GO TO STATS SHEET" xr:uid="{00000000-0004-0000-0500-000017000000}"/>
    <hyperlink ref="B4" location="STATS!A1" display="GO TO STATS SHEET" xr:uid="{00000000-0004-0000-0500-000018000000}"/>
    <hyperlink ref="Y50" location="'Photos of Rosettes'!A1" display="APPEARS TO BE SAME AS C-7" xr:uid="{00000000-0004-0000-0500-000019000000}"/>
    <hyperlink ref="Y4" location="STATS!A1" display="GO TO STATS SHEET" xr:uid="{00000000-0004-0000-0500-00001A000000}"/>
    <hyperlink ref="Z50" location="'Photos of Rosettes'!A1" display="APPEARS TO BE SAME AS C-7" xr:uid="{00000000-0004-0000-0500-00001B000000}"/>
    <hyperlink ref="Z4" location="STATS!A1" display="GO TO STATS SHEET" xr:uid="{00000000-0004-0000-0500-00001C000000}"/>
    <hyperlink ref="AA50" location="'Photos of Rosettes'!A1" display="APPEARS TO BE SAME AS C-7" xr:uid="{00000000-0004-0000-0500-00001D000000}"/>
    <hyperlink ref="AA4" location="STATS!A1" display="GO TO STATS SHEET" xr:uid="{00000000-0004-0000-0500-00001E000000}"/>
    <hyperlink ref="AB50" location="'Photos of Rosettes'!A1" display="APPEARS TO BE SAME AS C-7" xr:uid="{00000000-0004-0000-0500-00001F000000}"/>
    <hyperlink ref="AB4" location="STATS!A1" display="GO TO STATS SHEET" xr:uid="{00000000-0004-0000-0500-000020000000}"/>
    <hyperlink ref="AC50" location="'Photos of Rosettes'!A1" display="APPEARS TO BE SAME AS C-7" xr:uid="{00000000-0004-0000-0500-000021000000}"/>
    <hyperlink ref="AC4" location="STATS!A1" display="GO TO STATS SHEET" xr:uid="{00000000-0004-0000-0500-000022000000}"/>
    <hyperlink ref="AD50" location="'Photos of Rosettes'!A1" display="APPEARS TO BE SAME AS C-7" xr:uid="{00000000-0004-0000-0500-000023000000}"/>
    <hyperlink ref="AD4" location="STATS!A1" display="GO TO STATS SHEET" xr:uid="{00000000-0004-0000-0500-000024000000}"/>
    <hyperlink ref="AE50" location="'Photos of Rosettes'!A1" display="APPEARS TO BE SAME AS C-7" xr:uid="{00000000-0004-0000-0500-000025000000}"/>
    <hyperlink ref="AE4" location="STATS!A1" display="GO TO STATS SHEET" xr:uid="{00000000-0004-0000-0500-000026000000}"/>
    <hyperlink ref="AF50" location="'Photos of Rosettes'!A1" display="APPEARS TO BE SAME AS C-7" xr:uid="{00000000-0004-0000-0500-000027000000}"/>
    <hyperlink ref="AF4" location="STATS!A1" display="GO TO STATS SHEET" xr:uid="{00000000-0004-0000-0500-000028000000}"/>
    <hyperlink ref="V4" location="STATS!A1" display="GO TO STATS SHEET" xr:uid="{A5A73F83-49E2-4E96-8525-0762FD19639D}"/>
  </hyperlinks>
  <pageMargins left="0.7" right="0.7" top="0.75" bottom="0.75" header="0.3" footer="0.3"/>
  <pageSetup orientation="portrait" r:id="rId1"/>
  <drawing r:id="rId2"/>
  <legacyDrawing r:id="rId3"/>
  <oleObjects>
    <mc:AlternateContent xmlns:mc="http://schemas.openxmlformats.org/markup-compatibility/2006">
      <mc:Choice Requires="x14">
        <oleObject progId="Photoshop.Image.7" shapeId="2" r:id="rId4">
          <objectPr defaultSize="0" autoPict="0" r:id="rId5">
            <anchor moveWithCells="1">
              <from>
                <xdr:col>20</xdr:col>
                <xdr:colOff>28575</xdr:colOff>
                <xdr:row>4</xdr:row>
                <xdr:rowOff>28575</xdr:rowOff>
              </from>
              <to>
                <xdr:col>20</xdr:col>
                <xdr:colOff>76200</xdr:colOff>
                <xdr:row>4</xdr:row>
                <xdr:rowOff>142875</xdr:rowOff>
              </to>
            </anchor>
          </objectPr>
        </oleObject>
      </mc:Choice>
      <mc:Fallback>
        <oleObject progId="Photoshop.Image.7" shapeId="2050" r:id="rId4"/>
      </mc:Fallback>
    </mc:AlternateContent>
    <mc:AlternateContent xmlns:mc="http://schemas.openxmlformats.org/markup-compatibility/2006">
      <mc:Choice Requires="x14">
        <oleObject progId="Photoshop.Image.7" shapeId="4" r:id="rId6">
          <objectPr defaultSize="0" autoPict="0" r:id="rId7">
            <anchor moveWithCells="1">
              <from>
                <xdr:col>18</xdr:col>
                <xdr:colOff>19050</xdr:colOff>
                <xdr:row>4</xdr:row>
                <xdr:rowOff>19050</xdr:rowOff>
              </from>
              <to>
                <xdr:col>18</xdr:col>
                <xdr:colOff>66675</xdr:colOff>
                <xdr:row>4</xdr:row>
                <xdr:rowOff>142875</xdr:rowOff>
              </to>
            </anchor>
          </objectPr>
        </oleObject>
      </mc:Choice>
      <mc:Fallback>
        <oleObject progId="Photoshop.Image.7" shapeId="2051" r:id="rId6"/>
      </mc:Fallback>
    </mc:AlternateContent>
    <mc:AlternateContent xmlns:mc="http://schemas.openxmlformats.org/markup-compatibility/2006">
      <mc:Choice Requires="x14">
        <oleObject progId="Photoshop.Image.7" shapeId="5" r:id="rId8">
          <objectPr defaultSize="0" autoPict="0" r:id="rId9">
            <anchor moveWithCells="1">
              <from>
                <xdr:col>24</xdr:col>
                <xdr:colOff>19050</xdr:colOff>
                <xdr:row>4</xdr:row>
                <xdr:rowOff>19050</xdr:rowOff>
              </from>
              <to>
                <xdr:col>24</xdr:col>
                <xdr:colOff>57150</xdr:colOff>
                <xdr:row>4</xdr:row>
                <xdr:rowOff>114300</xdr:rowOff>
              </to>
            </anchor>
          </objectPr>
        </oleObject>
      </mc:Choice>
      <mc:Fallback>
        <oleObject progId="Photoshop.Image.7" shapeId="2055" r:id="rId8"/>
      </mc:Fallback>
    </mc:AlternateContent>
  </oleObject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2AB5C2-A4EC-49CF-871E-56E5CD01F2A0}">
  <dimension ref="A1:AR621"/>
  <sheetViews>
    <sheetView workbookViewId="0">
      <pane ySplit="3" topLeftCell="A4" activePane="bottomLeft" state="frozenSplit"/>
      <selection activeCell="AZ1" sqref="AZ1"/>
      <selection pane="bottomLeft" activeCell="B3" sqref="B3"/>
    </sheetView>
  </sheetViews>
  <sheetFormatPr defaultRowHeight="25.5" x14ac:dyDescent="0.2"/>
  <cols>
    <col min="1" max="1" width="30" style="292" customWidth="1"/>
    <col min="2" max="2" width="40.7109375" style="128" customWidth="1"/>
    <col min="3" max="3" width="38.42578125" style="128" customWidth="1"/>
    <col min="4" max="4" width="31" style="128" customWidth="1"/>
    <col min="5" max="5" width="32.140625" style="128" customWidth="1"/>
    <col min="6" max="6" width="23.140625" style="128" customWidth="1"/>
    <col min="7" max="7" width="20.5703125" style="128" customWidth="1"/>
    <col min="8" max="8" width="27" style="128" customWidth="1"/>
    <col min="9" max="9" width="19.5703125" style="128" customWidth="1"/>
    <col min="10" max="10" width="21.140625" style="128" customWidth="1"/>
    <col min="11" max="11" width="30" style="128" customWidth="1"/>
    <col min="12" max="12" width="16.85546875" style="128" customWidth="1"/>
    <col min="13" max="13" width="30" style="128" customWidth="1"/>
    <col min="14" max="14" width="22.28515625" style="128" customWidth="1"/>
    <col min="15" max="15" width="24.5703125" style="128" customWidth="1"/>
    <col min="16" max="16" width="20.140625" style="128" customWidth="1"/>
    <col min="17" max="17" width="22.28515625" style="128" customWidth="1"/>
    <col min="18" max="18" width="22.42578125" style="128" customWidth="1"/>
    <col min="19" max="19" width="17" style="128" customWidth="1"/>
    <col min="20" max="20" width="23.28515625" style="128" customWidth="1"/>
    <col min="21" max="21" width="18.5703125" style="128" customWidth="1"/>
    <col min="22" max="22" width="22.28515625" style="128" customWidth="1"/>
    <col min="23" max="23" width="19.5703125" style="128" customWidth="1"/>
    <col min="24" max="24" width="27.140625" style="128" customWidth="1"/>
    <col min="25" max="25" width="17.42578125" style="128" customWidth="1"/>
    <col min="26" max="26" width="17.85546875" style="128" customWidth="1"/>
    <col min="27" max="27" width="16.7109375" style="128" customWidth="1"/>
    <col min="28" max="30" width="19.140625" style="128" customWidth="1"/>
    <col min="31" max="32" width="25.7109375" style="128" customWidth="1"/>
    <col min="33" max="44" width="9.140625" style="128"/>
  </cols>
  <sheetData>
    <row r="1" spans="1:44" ht="21" thickBot="1" x14ac:dyDescent="0.25">
      <c r="A1" s="328" t="s">
        <v>615</v>
      </c>
      <c r="B1" s="319"/>
      <c r="C1" s="319"/>
      <c r="D1" s="319"/>
      <c r="E1" s="319"/>
      <c r="F1" s="319"/>
      <c r="G1" s="319"/>
      <c r="H1" s="319"/>
      <c r="I1" s="319"/>
      <c r="J1" s="319"/>
      <c r="K1" s="319"/>
      <c r="L1" s="319"/>
      <c r="M1" s="319"/>
      <c r="N1" s="319"/>
      <c r="O1" s="319"/>
      <c r="P1" s="319"/>
      <c r="Q1" s="319"/>
      <c r="R1" s="319"/>
      <c r="S1" s="319"/>
      <c r="T1" s="319"/>
      <c r="U1" s="319"/>
      <c r="V1" s="319"/>
      <c r="W1" s="319"/>
      <c r="X1" s="329"/>
      <c r="Y1" s="322" t="s">
        <v>538</v>
      </c>
      <c r="Z1" s="323"/>
      <c r="AA1" s="323"/>
      <c r="AB1" s="323"/>
      <c r="AC1" s="323"/>
      <c r="AD1" s="323"/>
      <c r="AE1" s="323"/>
      <c r="AF1" s="324"/>
    </row>
    <row r="2" spans="1:44" s="291" customFormat="1" ht="21" thickBot="1" x14ac:dyDescent="0.25">
      <c r="A2" s="325" t="s">
        <v>616</v>
      </c>
      <c r="B2" s="326"/>
      <c r="C2" s="326"/>
      <c r="D2" s="326"/>
      <c r="E2" s="326"/>
      <c r="F2" s="326"/>
      <c r="G2" s="326"/>
      <c r="H2" s="326"/>
      <c r="I2" s="326"/>
      <c r="J2" s="326"/>
      <c r="K2" s="326"/>
      <c r="L2" s="326"/>
      <c r="M2" s="326"/>
      <c r="N2" s="326"/>
      <c r="O2" s="326"/>
      <c r="P2" s="326"/>
      <c r="Q2" s="326"/>
      <c r="R2" s="326"/>
      <c r="S2" s="326"/>
      <c r="T2" s="326"/>
      <c r="U2" s="326"/>
      <c r="V2" s="326"/>
      <c r="W2" s="326"/>
      <c r="X2" s="327"/>
      <c r="Y2" s="293"/>
      <c r="Z2" s="294"/>
      <c r="AA2" s="294"/>
      <c r="AB2" s="294"/>
      <c r="AC2" s="294"/>
      <c r="AD2" s="294"/>
      <c r="AE2" s="294"/>
      <c r="AF2" s="295"/>
      <c r="AG2" s="128"/>
      <c r="AH2" s="128"/>
      <c r="AI2" s="128"/>
      <c r="AJ2" s="128"/>
      <c r="AK2" s="128"/>
      <c r="AL2" s="128"/>
      <c r="AM2" s="128"/>
      <c r="AN2" s="128"/>
      <c r="AO2" s="128"/>
      <c r="AP2" s="128"/>
      <c r="AQ2" s="128"/>
      <c r="AR2" s="128"/>
    </row>
    <row r="3" spans="1:44" s="162" customFormat="1" ht="57" thickBot="1" x14ac:dyDescent="0.25">
      <c r="A3" s="296" t="s">
        <v>544</v>
      </c>
      <c r="B3" s="165" t="s">
        <v>545</v>
      </c>
      <c r="C3" s="165" t="s">
        <v>546</v>
      </c>
      <c r="D3" s="165" t="s">
        <v>547</v>
      </c>
      <c r="E3" s="166" t="s">
        <v>548</v>
      </c>
      <c r="F3" s="166" t="s">
        <v>577</v>
      </c>
      <c r="G3" s="165" t="s">
        <v>549</v>
      </c>
      <c r="H3" s="166" t="s">
        <v>583</v>
      </c>
      <c r="I3" s="166" t="s">
        <v>584</v>
      </c>
      <c r="J3" s="167" t="s">
        <v>550</v>
      </c>
      <c r="K3" s="165" t="s">
        <v>582</v>
      </c>
      <c r="L3" s="166" t="s">
        <v>585</v>
      </c>
      <c r="M3" s="165" t="s">
        <v>551</v>
      </c>
      <c r="N3" s="166" t="s">
        <v>543</v>
      </c>
      <c r="O3" s="166" t="s">
        <v>587</v>
      </c>
      <c r="P3" s="165" t="s">
        <v>552</v>
      </c>
      <c r="Q3" s="165" t="s">
        <v>553</v>
      </c>
      <c r="R3" s="165" t="s">
        <v>554</v>
      </c>
      <c r="S3" s="166" t="s">
        <v>555</v>
      </c>
      <c r="T3" s="166" t="s">
        <v>556</v>
      </c>
      <c r="U3" s="166" t="s">
        <v>613</v>
      </c>
      <c r="V3" s="166" t="s">
        <v>557</v>
      </c>
      <c r="W3" s="166" t="s">
        <v>558</v>
      </c>
      <c r="X3" s="164" t="s">
        <v>89</v>
      </c>
      <c r="Y3" s="164" t="s">
        <v>559</v>
      </c>
      <c r="Z3" s="164" t="s">
        <v>560</v>
      </c>
      <c r="AA3" s="164" t="s">
        <v>561</v>
      </c>
      <c r="AB3" s="164" t="s">
        <v>562</v>
      </c>
      <c r="AC3" s="164" t="s">
        <v>563</v>
      </c>
      <c r="AD3" s="164" t="s">
        <v>588</v>
      </c>
      <c r="AE3" s="164" t="s">
        <v>589</v>
      </c>
      <c r="AF3" s="161"/>
      <c r="AG3" s="161"/>
      <c r="AH3" s="161"/>
      <c r="AI3" s="161"/>
      <c r="AJ3" s="161"/>
      <c r="AK3" s="161"/>
      <c r="AL3" s="161"/>
      <c r="AM3" s="161"/>
      <c r="AN3" s="161"/>
      <c r="AO3" s="161"/>
      <c r="AP3" s="161"/>
      <c r="AQ3" s="161"/>
    </row>
    <row r="4" spans="1:44" s="137" customFormat="1" ht="21" thickBot="1" x14ac:dyDescent="0.35">
      <c r="A4" s="138" t="s">
        <v>541</v>
      </c>
      <c r="B4" s="139" t="s">
        <v>541</v>
      </c>
      <c r="C4" s="139" t="s">
        <v>541</v>
      </c>
      <c r="D4" s="140" t="s">
        <v>541</v>
      </c>
      <c r="E4" s="139" t="s">
        <v>541</v>
      </c>
      <c r="F4" s="139" t="s">
        <v>541</v>
      </c>
      <c r="G4" s="139" t="s">
        <v>541</v>
      </c>
      <c r="H4" s="139" t="s">
        <v>541</v>
      </c>
      <c r="I4" s="139" t="s">
        <v>541</v>
      </c>
      <c r="J4" s="139" t="s">
        <v>541</v>
      </c>
      <c r="K4" s="139" t="s">
        <v>541</v>
      </c>
      <c r="L4" s="139" t="s">
        <v>541</v>
      </c>
      <c r="M4" s="139" t="s">
        <v>541</v>
      </c>
      <c r="N4" s="139" t="s">
        <v>541</v>
      </c>
      <c r="O4" s="139" t="s">
        <v>541</v>
      </c>
      <c r="P4" s="139" t="s">
        <v>541</v>
      </c>
      <c r="Q4" s="139" t="s">
        <v>541</v>
      </c>
      <c r="R4" s="139" t="s">
        <v>541</v>
      </c>
      <c r="S4" s="139" t="s">
        <v>541</v>
      </c>
      <c r="T4" s="139" t="s">
        <v>541</v>
      </c>
      <c r="U4" s="139" t="s">
        <v>541</v>
      </c>
      <c r="V4" s="139" t="s">
        <v>541</v>
      </c>
      <c r="W4" s="139" t="s">
        <v>541</v>
      </c>
      <c r="X4" s="139" t="s">
        <v>541</v>
      </c>
      <c r="Y4" s="139" t="s">
        <v>541</v>
      </c>
      <c r="Z4" s="139" t="s">
        <v>541</v>
      </c>
      <c r="AA4" s="139" t="s">
        <v>541</v>
      </c>
      <c r="AB4" s="139" t="s">
        <v>541</v>
      </c>
      <c r="AC4" s="139" t="s">
        <v>541</v>
      </c>
      <c r="AD4" s="139" t="s">
        <v>541</v>
      </c>
      <c r="AE4" s="139" t="s">
        <v>541</v>
      </c>
      <c r="AF4" s="141"/>
      <c r="AG4" s="141"/>
      <c r="AH4" s="141"/>
      <c r="AI4" s="141"/>
      <c r="AJ4" s="141"/>
      <c r="AK4" s="141"/>
      <c r="AL4" s="141"/>
      <c r="AM4" s="141"/>
      <c r="AN4" s="141"/>
      <c r="AO4" s="141"/>
      <c r="AP4" s="141"/>
      <c r="AQ4" s="141"/>
    </row>
    <row r="5" spans="1:44" s="156" customFormat="1" x14ac:dyDescent="0.25">
      <c r="A5" s="168"/>
      <c r="B5" s="169"/>
      <c r="C5" s="169"/>
      <c r="D5" s="170" t="s">
        <v>536</v>
      </c>
      <c r="E5" s="169"/>
      <c r="F5" s="169"/>
      <c r="G5" s="169"/>
      <c r="H5" s="169"/>
      <c r="I5" s="169"/>
      <c r="J5" s="169"/>
      <c r="K5" s="169"/>
      <c r="L5" s="169" t="s">
        <v>536</v>
      </c>
      <c r="M5" s="169"/>
      <c r="N5" s="169"/>
      <c r="O5" s="169"/>
      <c r="P5" s="169"/>
      <c r="Q5" s="169"/>
      <c r="R5" s="169"/>
      <c r="S5" s="169"/>
      <c r="T5" s="169"/>
      <c r="U5" s="169"/>
      <c r="V5" s="169"/>
      <c r="W5" s="169"/>
      <c r="X5" s="169"/>
      <c r="Y5" s="169"/>
      <c r="Z5" s="169"/>
      <c r="AA5" s="169"/>
      <c r="AB5" s="169"/>
      <c r="AC5" s="169"/>
      <c r="AD5" s="169" t="s">
        <v>536</v>
      </c>
      <c r="AE5" s="169" t="s">
        <v>536</v>
      </c>
      <c r="AF5" s="155"/>
      <c r="AG5" s="155"/>
      <c r="AH5" s="155"/>
      <c r="AI5" s="155"/>
      <c r="AJ5" s="155"/>
      <c r="AK5" s="155"/>
      <c r="AL5" s="155"/>
      <c r="AM5" s="155"/>
      <c r="AN5" s="155"/>
      <c r="AO5" s="155"/>
      <c r="AP5" s="155"/>
      <c r="AQ5" s="155"/>
    </row>
    <row r="6" spans="1:44" s="160" customFormat="1" ht="12.75" customHeight="1" x14ac:dyDescent="0.2">
      <c r="A6" s="134"/>
      <c r="B6" s="131"/>
      <c r="C6" s="131"/>
      <c r="D6" s="153" t="s">
        <v>617</v>
      </c>
      <c r="E6" s="131"/>
      <c r="F6" s="131"/>
      <c r="G6" s="131"/>
      <c r="H6" s="131"/>
      <c r="I6" s="131"/>
      <c r="J6" s="131" t="s">
        <v>524</v>
      </c>
      <c r="K6" s="131"/>
      <c r="L6" s="131" t="s">
        <v>586</v>
      </c>
      <c r="M6" s="131"/>
      <c r="N6" s="131"/>
      <c r="O6" s="131"/>
      <c r="P6" s="131"/>
      <c r="Q6" s="131"/>
      <c r="R6" s="131"/>
      <c r="S6" s="131"/>
      <c r="T6" s="131"/>
      <c r="U6" s="131"/>
      <c r="V6" s="131"/>
      <c r="W6" s="131"/>
      <c r="X6" s="131"/>
      <c r="Y6" s="131"/>
      <c r="Z6" s="131"/>
      <c r="AA6" s="131"/>
      <c r="AB6" s="131"/>
      <c r="AC6" s="131"/>
      <c r="AD6" s="131"/>
      <c r="AE6" s="131"/>
      <c r="AF6" s="153"/>
      <c r="AG6" s="153"/>
      <c r="AH6" s="153"/>
      <c r="AI6" s="153"/>
      <c r="AJ6" s="153"/>
      <c r="AK6" s="153"/>
      <c r="AL6" s="153"/>
      <c r="AM6" s="153"/>
      <c r="AN6" s="153"/>
      <c r="AO6" s="153"/>
      <c r="AP6" s="153"/>
      <c r="AQ6" s="153"/>
    </row>
    <row r="7" spans="1:44" ht="14.25" x14ac:dyDescent="0.2">
      <c r="A7" s="133"/>
      <c r="B7" s="129"/>
      <c r="C7" s="129"/>
      <c r="E7" s="129"/>
      <c r="F7" s="129"/>
      <c r="G7" s="129"/>
      <c r="H7" s="129"/>
      <c r="I7" s="129"/>
      <c r="J7" s="129"/>
      <c r="K7" s="129"/>
      <c r="L7" s="129"/>
      <c r="M7" s="129"/>
      <c r="N7" s="129"/>
      <c r="O7" s="129"/>
      <c r="P7" s="129"/>
      <c r="Q7" s="129"/>
      <c r="R7" s="129"/>
      <c r="S7" s="129"/>
      <c r="T7" s="129"/>
      <c r="U7" s="129"/>
      <c r="V7" s="129"/>
      <c r="W7" s="129"/>
      <c r="X7" s="129"/>
      <c r="Y7" s="129"/>
      <c r="Z7" s="129"/>
      <c r="AA7" s="129"/>
      <c r="AB7" s="129"/>
      <c r="AC7" s="129"/>
      <c r="AD7" s="129"/>
      <c r="AE7" s="129"/>
      <c r="AR7"/>
    </row>
    <row r="8" spans="1:44" ht="14.25" x14ac:dyDescent="0.2">
      <c r="A8" s="133"/>
      <c r="B8" s="129"/>
      <c r="C8" s="129"/>
      <c r="E8" s="129"/>
      <c r="F8" s="129"/>
      <c r="G8" s="129"/>
      <c r="H8" s="129"/>
      <c r="I8" s="129"/>
      <c r="J8" s="129"/>
      <c r="K8" s="129"/>
      <c r="L8" s="129"/>
      <c r="M8" s="129"/>
      <c r="N8" s="129"/>
      <c r="O8" s="129"/>
      <c r="P8" s="129"/>
      <c r="Q8" s="129"/>
      <c r="R8" s="129"/>
      <c r="S8" s="129"/>
      <c r="T8" s="129"/>
      <c r="U8" s="129"/>
      <c r="V8" s="129"/>
      <c r="W8" s="129"/>
      <c r="X8" s="129"/>
      <c r="Y8" s="129"/>
      <c r="Z8" s="129"/>
      <c r="AA8" s="129"/>
      <c r="AB8" s="129"/>
      <c r="AC8" s="129"/>
      <c r="AD8" s="129"/>
      <c r="AE8" s="129"/>
      <c r="AR8"/>
    </row>
    <row r="9" spans="1:44" ht="14.25" x14ac:dyDescent="0.2">
      <c r="A9" s="133"/>
      <c r="B9" s="129"/>
      <c r="C9" s="129"/>
      <c r="E9" s="129"/>
      <c r="F9" s="129"/>
      <c r="G9" s="129"/>
      <c r="H9" s="129"/>
      <c r="I9" s="129"/>
      <c r="J9" s="129"/>
      <c r="K9" s="129"/>
      <c r="L9" s="129"/>
      <c r="M9" s="129"/>
      <c r="N9" s="129"/>
      <c r="O9" s="129"/>
      <c r="P9" s="129"/>
      <c r="Q9" s="129"/>
      <c r="R9" s="129"/>
      <c r="S9" s="129"/>
      <c r="T9" s="129"/>
      <c r="U9" s="129"/>
      <c r="V9" s="129"/>
      <c r="W9" s="129"/>
      <c r="X9" s="129"/>
      <c r="Y9" s="129"/>
      <c r="Z9" s="129"/>
      <c r="AA9" s="129"/>
      <c r="AB9" s="129"/>
      <c r="AC9" s="129"/>
      <c r="AD9" s="129"/>
      <c r="AE9" s="129"/>
      <c r="AR9"/>
    </row>
    <row r="10" spans="1:44" ht="14.25" x14ac:dyDescent="0.2">
      <c r="A10" s="133"/>
      <c r="B10" s="129"/>
      <c r="C10" s="129"/>
      <c r="E10" s="129"/>
      <c r="F10" s="129"/>
      <c r="G10" s="129"/>
      <c r="H10" s="129"/>
      <c r="I10" s="129"/>
      <c r="J10" s="129"/>
      <c r="K10" s="129"/>
      <c r="L10" s="129"/>
      <c r="M10" s="129"/>
      <c r="N10" s="129"/>
      <c r="O10" s="129"/>
      <c r="P10" s="129"/>
      <c r="Q10" s="129"/>
      <c r="R10" s="129"/>
      <c r="S10" s="129"/>
      <c r="T10" s="129"/>
      <c r="U10" s="129"/>
      <c r="V10" s="129"/>
      <c r="W10" s="129"/>
      <c r="X10" s="129"/>
      <c r="Y10" s="129"/>
      <c r="Z10" s="129"/>
      <c r="AA10" s="129"/>
      <c r="AB10" s="129"/>
      <c r="AC10" s="129"/>
      <c r="AD10" s="129"/>
      <c r="AE10" s="129"/>
      <c r="AR10"/>
    </row>
    <row r="11" spans="1:44" ht="15" thickBot="1" x14ac:dyDescent="0.25">
      <c r="A11" s="135"/>
      <c r="B11" s="129"/>
      <c r="C11" s="129"/>
      <c r="E11" s="129"/>
      <c r="F11" s="129"/>
      <c r="G11" s="129"/>
      <c r="H11" s="129"/>
      <c r="I11" s="129"/>
      <c r="J11" s="129"/>
      <c r="K11" s="129"/>
      <c r="L11" s="129"/>
      <c r="M11" s="129"/>
      <c r="N11" s="129"/>
      <c r="O11" s="129"/>
      <c r="P11" s="129"/>
      <c r="Q11" s="129"/>
      <c r="R11" s="129"/>
      <c r="S11" s="129"/>
      <c r="T11" s="129"/>
      <c r="U11" s="129"/>
      <c r="V11" s="129"/>
      <c r="W11" s="129"/>
      <c r="X11" s="129"/>
      <c r="Y11" s="129"/>
      <c r="Z11" s="129"/>
      <c r="AA11" s="129"/>
      <c r="AB11" s="129"/>
      <c r="AC11" s="129"/>
      <c r="AD11" s="129"/>
      <c r="AE11" s="129"/>
      <c r="AR11"/>
    </row>
    <row r="12" spans="1:44" ht="14.25" x14ac:dyDescent="0.2">
      <c r="A12" s="128"/>
      <c r="B12" s="129"/>
      <c r="C12" s="129"/>
      <c r="E12" s="129"/>
      <c r="F12" s="129"/>
      <c r="G12" s="129"/>
      <c r="H12" s="129"/>
      <c r="I12" s="129"/>
      <c r="J12" s="129"/>
      <c r="K12" s="129"/>
      <c r="L12" s="129"/>
      <c r="M12" s="129"/>
      <c r="N12" s="129"/>
      <c r="O12" s="129"/>
      <c r="P12" s="129"/>
      <c r="Q12" s="129"/>
      <c r="R12" s="129"/>
      <c r="S12" s="129"/>
      <c r="T12" s="129"/>
      <c r="U12" s="129"/>
      <c r="V12" s="129"/>
      <c r="W12" s="129"/>
      <c r="X12" s="129"/>
      <c r="Y12" s="129"/>
      <c r="Z12" s="129"/>
      <c r="AA12" s="129"/>
      <c r="AB12" s="129"/>
      <c r="AC12" s="129"/>
      <c r="AD12" s="129"/>
      <c r="AE12" s="129"/>
      <c r="AR12"/>
    </row>
    <row r="13" spans="1:44" ht="14.25" x14ac:dyDescent="0.2">
      <c r="A13" s="128"/>
      <c r="B13" s="129"/>
      <c r="C13" s="129"/>
      <c r="E13" s="129"/>
      <c r="F13" s="129"/>
      <c r="G13" s="129"/>
      <c r="H13" s="129"/>
      <c r="I13" s="129"/>
      <c r="J13" s="129"/>
      <c r="K13" s="129"/>
      <c r="L13" s="129"/>
      <c r="M13" s="129"/>
      <c r="N13" s="129"/>
      <c r="O13" s="129"/>
      <c r="P13" s="129"/>
      <c r="Q13" s="129"/>
      <c r="R13" s="129"/>
      <c r="S13" s="129"/>
      <c r="T13" s="129"/>
      <c r="U13" s="129"/>
      <c r="V13" s="129"/>
      <c r="W13" s="129"/>
      <c r="X13" s="129"/>
      <c r="Y13" s="129"/>
      <c r="Z13" s="129"/>
      <c r="AA13" s="129"/>
      <c r="AB13" s="129"/>
      <c r="AC13" s="129"/>
      <c r="AD13" s="129"/>
      <c r="AE13" s="129"/>
      <c r="AR13"/>
    </row>
    <row r="14" spans="1:44" ht="14.25" x14ac:dyDescent="0.2">
      <c r="A14" s="128"/>
      <c r="B14" s="129"/>
      <c r="C14" s="129"/>
      <c r="E14" s="129"/>
      <c r="F14" s="129"/>
      <c r="G14" s="129"/>
      <c r="H14" s="129"/>
      <c r="I14" s="129"/>
      <c r="J14" s="129"/>
      <c r="K14" s="129"/>
      <c r="L14" s="129"/>
      <c r="M14" s="129"/>
      <c r="N14" s="129"/>
      <c r="O14" s="129"/>
      <c r="P14" s="129"/>
      <c r="Q14" s="129"/>
      <c r="R14" s="129"/>
      <c r="S14" s="129"/>
      <c r="T14" s="129"/>
      <c r="U14" s="129"/>
      <c r="V14" s="129"/>
      <c r="W14" s="129"/>
      <c r="X14" s="129"/>
      <c r="Y14" s="129"/>
      <c r="Z14" s="129"/>
      <c r="AA14" s="129"/>
      <c r="AB14" s="129"/>
      <c r="AC14" s="129"/>
      <c r="AD14" s="129"/>
      <c r="AE14" s="129"/>
      <c r="AR14"/>
    </row>
    <row r="15" spans="1:44" ht="14.25" x14ac:dyDescent="0.2">
      <c r="A15" s="128"/>
      <c r="B15" s="129"/>
      <c r="C15" s="129"/>
      <c r="E15" s="129"/>
      <c r="F15" s="129"/>
      <c r="G15" s="129"/>
      <c r="H15" s="129"/>
      <c r="I15" s="129"/>
      <c r="J15" s="129"/>
      <c r="K15" s="129"/>
      <c r="L15" s="129"/>
      <c r="M15" s="129"/>
      <c r="N15" s="129"/>
      <c r="O15" s="129"/>
      <c r="P15" s="129"/>
      <c r="Q15" s="129"/>
      <c r="R15" s="129"/>
      <c r="S15" s="129"/>
      <c r="T15" s="129"/>
      <c r="U15" s="129"/>
      <c r="V15" s="129"/>
      <c r="W15" s="129"/>
      <c r="X15" s="129"/>
      <c r="Y15" s="129"/>
      <c r="Z15" s="129"/>
      <c r="AA15" s="129"/>
      <c r="AB15" s="129"/>
      <c r="AC15" s="129"/>
      <c r="AD15" s="129"/>
      <c r="AE15" s="129"/>
      <c r="AR15"/>
    </row>
    <row r="16" spans="1:44" ht="14.25" x14ac:dyDescent="0.2">
      <c r="A16" s="128"/>
      <c r="B16" s="129"/>
      <c r="C16" s="129"/>
      <c r="E16" s="129"/>
      <c r="F16" s="129"/>
      <c r="G16" s="129"/>
      <c r="H16" s="129"/>
      <c r="I16" s="129"/>
      <c r="J16" s="129"/>
      <c r="K16" s="129"/>
      <c r="L16" s="129"/>
      <c r="M16" s="129"/>
      <c r="N16" s="129"/>
      <c r="O16" s="129"/>
      <c r="P16" s="129"/>
      <c r="Q16" s="129"/>
      <c r="R16" s="129"/>
      <c r="S16" s="129"/>
      <c r="T16" s="129"/>
      <c r="U16" s="129"/>
      <c r="V16" s="129"/>
      <c r="W16" s="129"/>
      <c r="X16" s="129"/>
      <c r="Y16" s="129"/>
      <c r="Z16" s="129"/>
      <c r="AA16" s="129"/>
      <c r="AB16" s="129"/>
      <c r="AC16" s="129"/>
      <c r="AD16" s="129"/>
      <c r="AE16" s="129"/>
      <c r="AR16"/>
    </row>
    <row r="17" spans="1:31" s="128" customFormat="1" ht="14.25" x14ac:dyDescent="0.2">
      <c r="B17" s="129"/>
      <c r="C17" s="129"/>
      <c r="E17" s="129"/>
      <c r="F17" s="129"/>
      <c r="G17" s="129"/>
      <c r="H17" s="129"/>
      <c r="I17" s="129"/>
      <c r="J17" s="129"/>
      <c r="K17" s="129"/>
      <c r="L17" s="129"/>
      <c r="M17" s="129"/>
      <c r="N17" s="129"/>
      <c r="O17" s="129"/>
      <c r="P17" s="129"/>
      <c r="Q17" s="129"/>
      <c r="R17" s="129"/>
      <c r="S17" s="129"/>
      <c r="T17" s="129"/>
      <c r="U17" s="129"/>
      <c r="V17" s="129"/>
      <c r="W17" s="129"/>
      <c r="X17" s="129"/>
      <c r="Y17" s="129"/>
      <c r="Z17" s="129"/>
      <c r="AA17" s="129"/>
      <c r="AB17" s="129"/>
      <c r="AC17" s="129"/>
      <c r="AD17" s="129"/>
      <c r="AE17" s="129"/>
    </row>
    <row r="18" spans="1:31" s="128" customFormat="1" ht="14.25" x14ac:dyDescent="0.2">
      <c r="B18" s="129"/>
      <c r="C18" s="129"/>
      <c r="E18" s="129"/>
      <c r="F18" s="129"/>
      <c r="G18" s="129"/>
      <c r="H18" s="129"/>
      <c r="I18" s="129"/>
      <c r="J18" s="129"/>
      <c r="K18" s="129"/>
      <c r="L18" s="129"/>
      <c r="M18" s="129"/>
      <c r="N18" s="129"/>
      <c r="O18" s="129"/>
      <c r="P18" s="129"/>
      <c r="Q18" s="129"/>
      <c r="R18" s="129"/>
      <c r="S18" s="129"/>
      <c r="T18" s="129"/>
      <c r="U18" s="129"/>
      <c r="V18" s="129"/>
      <c r="W18" s="129"/>
      <c r="X18" s="129"/>
      <c r="Y18" s="129"/>
      <c r="Z18" s="129"/>
      <c r="AA18" s="129"/>
      <c r="AB18" s="129"/>
      <c r="AC18" s="129"/>
      <c r="AD18" s="129"/>
      <c r="AE18" s="129"/>
    </row>
    <row r="19" spans="1:31" s="128" customFormat="1" ht="14.25" x14ac:dyDescent="0.2">
      <c r="B19" s="129"/>
      <c r="C19" s="129"/>
      <c r="E19" s="129"/>
      <c r="F19" s="129"/>
      <c r="G19" s="129"/>
      <c r="H19" s="129"/>
      <c r="I19" s="129"/>
      <c r="J19" s="129"/>
      <c r="K19" s="129"/>
      <c r="L19" s="129"/>
      <c r="M19" s="129"/>
      <c r="N19" s="129"/>
      <c r="O19" s="129"/>
      <c r="P19" s="129"/>
      <c r="Q19" s="129"/>
      <c r="R19" s="129"/>
      <c r="S19" s="129"/>
      <c r="T19" s="129"/>
      <c r="U19" s="129"/>
      <c r="V19" s="129"/>
      <c r="W19" s="129"/>
      <c r="X19" s="129"/>
      <c r="Y19" s="129"/>
      <c r="Z19" s="129"/>
      <c r="AA19" s="129"/>
      <c r="AB19" s="129"/>
      <c r="AC19" s="129"/>
      <c r="AD19" s="129"/>
      <c r="AE19" s="129"/>
    </row>
    <row r="20" spans="1:31" s="128" customFormat="1" ht="15" thickBot="1" x14ac:dyDescent="0.25">
      <c r="B20" s="132"/>
      <c r="C20" s="132"/>
      <c r="E20" s="132"/>
      <c r="F20" s="132"/>
      <c r="G20" s="132"/>
      <c r="H20" s="132"/>
      <c r="I20" s="132"/>
      <c r="J20" s="132"/>
      <c r="K20" s="132"/>
      <c r="L20" s="132"/>
      <c r="M20" s="132"/>
      <c r="N20" s="132"/>
      <c r="O20" s="132"/>
      <c r="P20" s="132"/>
      <c r="Q20" s="132"/>
      <c r="R20" s="132"/>
      <c r="S20" s="132"/>
      <c r="T20" s="132"/>
      <c r="U20" s="132"/>
      <c r="V20" s="132"/>
      <c r="W20" s="132"/>
      <c r="X20" s="132"/>
      <c r="Y20" s="132"/>
      <c r="Z20" s="132"/>
      <c r="AA20" s="132"/>
      <c r="AB20" s="132"/>
      <c r="AC20" s="132"/>
      <c r="AD20" s="132"/>
      <c r="AE20" s="132"/>
    </row>
    <row r="21" spans="1:31" s="128" customFormat="1" ht="18" x14ac:dyDescent="0.2">
      <c r="F21" s="231" t="s">
        <v>188</v>
      </c>
      <c r="H21" s="233" t="s">
        <v>578</v>
      </c>
      <c r="J21" s="233" t="s">
        <v>578</v>
      </c>
      <c r="K21" s="231" t="s">
        <v>57</v>
      </c>
    </row>
    <row r="22" spans="1:31" s="128" customFormat="1" ht="14.25" x14ac:dyDescent="0.2">
      <c r="F22" s="129"/>
      <c r="H22" s="234" t="s">
        <v>579</v>
      </c>
      <c r="J22" s="234" t="s">
        <v>579</v>
      </c>
      <c r="K22" s="131"/>
    </row>
    <row r="23" spans="1:31" s="128" customFormat="1" ht="14.25" x14ac:dyDescent="0.2">
      <c r="F23" s="129"/>
      <c r="H23" s="234" t="s">
        <v>580</v>
      </c>
      <c r="J23" s="234" t="s">
        <v>580</v>
      </c>
      <c r="K23" s="232"/>
    </row>
    <row r="24" spans="1:31" s="128" customFormat="1" ht="16.5" thickBot="1" x14ac:dyDescent="0.25">
      <c r="F24" s="129"/>
      <c r="H24" s="235" t="s">
        <v>581</v>
      </c>
      <c r="I24" s="152"/>
      <c r="J24" s="235" t="s">
        <v>581</v>
      </c>
      <c r="K24" s="129"/>
      <c r="M24" s="152"/>
    </row>
    <row r="25" spans="1:31" s="128" customFormat="1" ht="15.75" x14ac:dyDescent="0.2">
      <c r="F25" s="129"/>
      <c r="I25" s="153"/>
      <c r="K25" s="129"/>
      <c r="M25" s="153"/>
      <c r="N25" s="152"/>
    </row>
    <row r="26" spans="1:31" s="128" customFormat="1" ht="15" x14ac:dyDescent="0.2">
      <c r="A26" s="157"/>
      <c r="B26" s="157"/>
      <c r="F26" s="129"/>
      <c r="K26" s="129"/>
    </row>
    <row r="27" spans="1:31" s="128" customFormat="1" ht="15" x14ac:dyDescent="0.2">
      <c r="A27" s="153"/>
      <c r="B27" s="153"/>
      <c r="F27" s="129"/>
      <c r="G27" s="157"/>
      <c r="K27" s="129"/>
    </row>
    <row r="28" spans="1:31" s="128" customFormat="1" ht="14.25" x14ac:dyDescent="0.2">
      <c r="A28" s="154"/>
      <c r="B28" s="154"/>
      <c r="F28" s="129"/>
      <c r="K28" s="129"/>
    </row>
    <row r="29" spans="1:31" s="128" customFormat="1" ht="14.25" customHeight="1" x14ac:dyDescent="0.2">
      <c r="C29" s="157"/>
      <c r="D29" s="157"/>
      <c r="F29" s="129"/>
      <c r="K29" s="129"/>
    </row>
    <row r="30" spans="1:31" s="128" customFormat="1" ht="14.25" x14ac:dyDescent="0.2">
      <c r="C30" s="153"/>
      <c r="D30" s="153"/>
      <c r="F30" s="129"/>
      <c r="K30" s="129"/>
    </row>
    <row r="31" spans="1:31" s="128" customFormat="1" ht="15.75" x14ac:dyDescent="0.2">
      <c r="D31" s="158"/>
      <c r="F31" s="129"/>
      <c r="H31" s="157"/>
      <c r="K31" s="129"/>
      <c r="P31" s="152"/>
    </row>
    <row r="32" spans="1:31" s="128" customFormat="1" ht="15.75" x14ac:dyDescent="0.2">
      <c r="D32" s="154"/>
      <c r="F32" s="130"/>
      <c r="H32" s="153"/>
      <c r="K32" s="129"/>
      <c r="L32" s="152"/>
      <c r="P32" s="153"/>
    </row>
    <row r="33" spans="1:31" s="128" customFormat="1" ht="16.5" thickBot="1" x14ac:dyDescent="0.25">
      <c r="F33" s="129"/>
      <c r="K33" s="132"/>
      <c r="L33" s="153"/>
      <c r="O33" s="152"/>
      <c r="P33" s="159"/>
    </row>
    <row r="34" spans="1:31" s="128" customFormat="1" ht="15.75" x14ac:dyDescent="0.2">
      <c r="F34" s="129"/>
      <c r="O34" s="153"/>
      <c r="Q34" s="152"/>
    </row>
    <row r="35" spans="1:31" s="128" customFormat="1" ht="16.5" thickBot="1" x14ac:dyDescent="0.25">
      <c r="E35" s="157"/>
      <c r="F35" s="132"/>
      <c r="N35" s="152"/>
      <c r="Q35" s="153"/>
      <c r="R35" s="152"/>
    </row>
    <row r="36" spans="1:31" s="128" customFormat="1" ht="14.25" x14ac:dyDescent="0.2">
      <c r="E36" s="153"/>
      <c r="N36" s="153"/>
      <c r="R36" s="153"/>
    </row>
    <row r="37" spans="1:31" s="128" customFormat="1" ht="14.25" x14ac:dyDescent="0.2">
      <c r="E37" s="153"/>
      <c r="N37" s="153"/>
      <c r="R37" s="153"/>
    </row>
    <row r="38" spans="1:31" s="128" customFormat="1" ht="17.100000000000001" customHeight="1" x14ac:dyDescent="0.2">
      <c r="N38" s="153"/>
    </row>
    <row r="39" spans="1:31" s="128" customFormat="1" ht="14.25" x14ac:dyDescent="0.2"/>
    <row r="40" spans="1:31" s="128" customFormat="1" ht="14.25" x14ac:dyDescent="0.2"/>
    <row r="41" spans="1:31" s="128" customFormat="1" ht="15" x14ac:dyDescent="0.2">
      <c r="A41" s="157"/>
      <c r="B41" s="157"/>
    </row>
    <row r="42" spans="1:31" s="128" customFormat="1" ht="14.25" x14ac:dyDescent="0.2"/>
    <row r="43" spans="1:31" s="128" customFormat="1" ht="14.25" x14ac:dyDescent="0.2"/>
    <row r="44" spans="1:31" s="128" customFormat="1" ht="14.25" x14ac:dyDescent="0.2"/>
    <row r="45" spans="1:31" s="128" customFormat="1" ht="14.25" x14ac:dyDescent="0.2"/>
    <row r="46" spans="1:31" s="128" customFormat="1" ht="14.25" x14ac:dyDescent="0.2"/>
    <row r="47" spans="1:31" s="128" customFormat="1" ht="15.75" x14ac:dyDescent="0.2">
      <c r="S47" s="152"/>
      <c r="T47" s="152"/>
      <c r="U47" s="152"/>
      <c r="V47" s="152"/>
      <c r="W47" s="152"/>
      <c r="X47" s="152"/>
      <c r="Y47" s="152"/>
      <c r="Z47" s="152"/>
      <c r="AA47" s="152"/>
      <c r="AB47" s="152"/>
      <c r="AC47" s="152"/>
      <c r="AD47" s="152"/>
      <c r="AE47" s="152"/>
    </row>
    <row r="48" spans="1:31" s="128" customFormat="1" ht="14.25" x14ac:dyDescent="0.2">
      <c r="S48" s="153"/>
      <c r="T48" s="153"/>
      <c r="U48" s="153"/>
      <c r="V48" s="153"/>
      <c r="W48" s="153"/>
      <c r="X48" s="153"/>
      <c r="Y48" s="153"/>
      <c r="Z48" s="153"/>
      <c r="AA48" s="153"/>
      <c r="AB48" s="153"/>
      <c r="AC48" s="153"/>
      <c r="AD48" s="153"/>
      <c r="AE48" s="153"/>
    </row>
    <row r="49" spans="1:44" s="128" customFormat="1" ht="14.25" x14ac:dyDescent="0.2">
      <c r="S49" s="131" t="s">
        <v>523</v>
      </c>
      <c r="T49" s="131" t="s">
        <v>523</v>
      </c>
      <c r="U49" s="131"/>
      <c r="V49" s="131" t="s">
        <v>523</v>
      </c>
      <c r="W49" s="131" t="s">
        <v>523</v>
      </c>
      <c r="X49" s="131" t="s">
        <v>523</v>
      </c>
      <c r="Y49" s="131" t="s">
        <v>523</v>
      </c>
      <c r="Z49" s="131" t="s">
        <v>523</v>
      </c>
      <c r="AA49" s="131" t="s">
        <v>523</v>
      </c>
      <c r="AB49" s="131" t="s">
        <v>523</v>
      </c>
      <c r="AC49" s="131" t="s">
        <v>523</v>
      </c>
      <c r="AD49" s="131" t="s">
        <v>523</v>
      </c>
      <c r="AE49" s="131" t="s">
        <v>523</v>
      </c>
    </row>
    <row r="50" spans="1:44" s="128" customFormat="1" ht="15" thickBot="1" x14ac:dyDescent="0.25">
      <c r="S50" s="136" t="s">
        <v>525</v>
      </c>
      <c r="T50" s="136" t="s">
        <v>525</v>
      </c>
      <c r="U50" s="136"/>
      <c r="V50" s="136" t="s">
        <v>525</v>
      </c>
      <c r="W50" s="136" t="s">
        <v>525</v>
      </c>
      <c r="X50" s="136" t="s">
        <v>525</v>
      </c>
      <c r="Y50" s="136" t="s">
        <v>525</v>
      </c>
      <c r="Z50" s="136" t="s">
        <v>525</v>
      </c>
      <c r="AA50" s="136" t="s">
        <v>525</v>
      </c>
      <c r="AB50" s="136" t="s">
        <v>525</v>
      </c>
      <c r="AC50" s="136" t="s">
        <v>525</v>
      </c>
      <c r="AD50" s="136" t="s">
        <v>525</v>
      </c>
      <c r="AE50" s="136" t="s">
        <v>525</v>
      </c>
    </row>
    <row r="51" spans="1:44" ht="14.25" x14ac:dyDescent="0.2">
      <c r="A51" s="128"/>
      <c r="AR51"/>
    </row>
    <row r="52" spans="1:44" ht="14.25" x14ac:dyDescent="0.2">
      <c r="A52" s="128"/>
      <c r="AR52"/>
    </row>
    <row r="53" spans="1:44" ht="14.25" x14ac:dyDescent="0.2">
      <c r="A53" s="128"/>
      <c r="AR53"/>
    </row>
    <row r="54" spans="1:44" ht="14.25" x14ac:dyDescent="0.2">
      <c r="A54" s="128"/>
      <c r="AR54"/>
    </row>
    <row r="55" spans="1:44" ht="14.25" x14ac:dyDescent="0.2">
      <c r="A55" s="128"/>
      <c r="AR55"/>
    </row>
    <row r="56" spans="1:44" ht="14.25" x14ac:dyDescent="0.2">
      <c r="A56" s="128"/>
      <c r="AR56"/>
    </row>
    <row r="57" spans="1:44" ht="14.25" x14ac:dyDescent="0.2">
      <c r="A57" s="128"/>
      <c r="AR57"/>
    </row>
    <row r="58" spans="1:44" ht="14.25" x14ac:dyDescent="0.2">
      <c r="A58" s="128"/>
      <c r="AR58"/>
    </row>
    <row r="59" spans="1:44" ht="14.25" x14ac:dyDescent="0.2">
      <c r="A59" s="128"/>
      <c r="AR59"/>
    </row>
    <row r="60" spans="1:44" ht="14.25" x14ac:dyDescent="0.2">
      <c r="A60" s="128"/>
      <c r="AR60"/>
    </row>
    <row r="61" spans="1:44" ht="14.25" x14ac:dyDescent="0.2">
      <c r="A61" s="128"/>
      <c r="AR61"/>
    </row>
    <row r="62" spans="1:44" ht="14.25" x14ac:dyDescent="0.2">
      <c r="A62" s="128"/>
      <c r="AR62"/>
    </row>
    <row r="63" spans="1:44" ht="14.25" x14ac:dyDescent="0.2">
      <c r="A63" s="128"/>
      <c r="AR63"/>
    </row>
    <row r="64" spans="1:44" ht="14.25" x14ac:dyDescent="0.2">
      <c r="A64" s="128"/>
      <c r="AR64"/>
    </row>
    <row r="65" spans="1:44" ht="14.25" x14ac:dyDescent="0.2">
      <c r="A65" s="128"/>
      <c r="AR65"/>
    </row>
    <row r="66" spans="1:44" ht="14.25" x14ac:dyDescent="0.2">
      <c r="A66" s="128"/>
      <c r="AR66"/>
    </row>
    <row r="67" spans="1:44" ht="14.25" x14ac:dyDescent="0.2">
      <c r="A67" s="128"/>
      <c r="AR67"/>
    </row>
    <row r="68" spans="1:44" ht="14.25" x14ac:dyDescent="0.2">
      <c r="A68" s="128"/>
      <c r="AR68"/>
    </row>
    <row r="69" spans="1:44" ht="14.25" x14ac:dyDescent="0.2">
      <c r="A69" s="128"/>
      <c r="AR69"/>
    </row>
    <row r="70" spans="1:44" ht="14.25" x14ac:dyDescent="0.2">
      <c r="A70" s="128"/>
      <c r="AR70"/>
    </row>
    <row r="71" spans="1:44" ht="14.25" x14ac:dyDescent="0.2">
      <c r="A71" s="128"/>
      <c r="AR71"/>
    </row>
    <row r="72" spans="1:44" ht="14.25" x14ac:dyDescent="0.2">
      <c r="A72" s="128"/>
      <c r="AR72"/>
    </row>
    <row r="73" spans="1:44" ht="14.25" x14ac:dyDescent="0.2">
      <c r="A73" s="128"/>
      <c r="AR73"/>
    </row>
    <row r="74" spans="1:44" ht="14.25" x14ac:dyDescent="0.2">
      <c r="A74" s="128"/>
      <c r="AR74"/>
    </row>
    <row r="75" spans="1:44" ht="14.25" x14ac:dyDescent="0.2">
      <c r="A75" s="128"/>
      <c r="AR75"/>
    </row>
    <row r="76" spans="1:44" ht="14.25" x14ac:dyDescent="0.2">
      <c r="A76" s="128"/>
      <c r="AR76"/>
    </row>
    <row r="77" spans="1:44" ht="14.25" x14ac:dyDescent="0.2">
      <c r="A77" s="128"/>
      <c r="AR77"/>
    </row>
    <row r="78" spans="1:44" ht="14.25" x14ac:dyDescent="0.2">
      <c r="A78" s="128"/>
      <c r="AR78"/>
    </row>
    <row r="79" spans="1:44" ht="14.25" x14ac:dyDescent="0.2">
      <c r="A79" s="128"/>
      <c r="AR79"/>
    </row>
    <row r="80" spans="1:44" ht="14.25" x14ac:dyDescent="0.2">
      <c r="A80" s="128"/>
      <c r="AR80"/>
    </row>
    <row r="81" spans="1:44" ht="14.25" x14ac:dyDescent="0.2">
      <c r="A81" s="128"/>
      <c r="AR81"/>
    </row>
    <row r="82" spans="1:44" ht="14.25" x14ac:dyDescent="0.2">
      <c r="A82" s="128"/>
      <c r="AR82"/>
    </row>
    <row r="83" spans="1:44" ht="14.25" x14ac:dyDescent="0.2">
      <c r="A83" s="128"/>
      <c r="AR83"/>
    </row>
    <row r="84" spans="1:44" ht="14.25" x14ac:dyDescent="0.2">
      <c r="A84" s="128"/>
      <c r="AR84"/>
    </row>
    <row r="85" spans="1:44" ht="14.25" x14ac:dyDescent="0.2">
      <c r="A85" s="128"/>
      <c r="AR85"/>
    </row>
    <row r="86" spans="1:44" ht="14.25" x14ac:dyDescent="0.2">
      <c r="A86" s="128"/>
      <c r="AR86"/>
    </row>
    <row r="87" spans="1:44" ht="14.25" x14ac:dyDescent="0.2">
      <c r="A87" s="128"/>
      <c r="AR87"/>
    </row>
    <row r="88" spans="1:44" ht="14.25" x14ac:dyDescent="0.2">
      <c r="A88" s="128"/>
      <c r="AR88"/>
    </row>
    <row r="89" spans="1:44" ht="14.25" x14ac:dyDescent="0.2">
      <c r="A89" s="128"/>
      <c r="AR89"/>
    </row>
    <row r="90" spans="1:44" ht="14.25" x14ac:dyDescent="0.2">
      <c r="A90" s="128"/>
      <c r="AR90"/>
    </row>
    <row r="91" spans="1:44" ht="14.25" x14ac:dyDescent="0.2">
      <c r="A91" s="128"/>
      <c r="AR91"/>
    </row>
    <row r="92" spans="1:44" ht="14.25" x14ac:dyDescent="0.2">
      <c r="A92" s="128"/>
      <c r="AR92"/>
    </row>
    <row r="93" spans="1:44" ht="14.25" x14ac:dyDescent="0.2">
      <c r="A93" s="128"/>
      <c r="AR93"/>
    </row>
    <row r="94" spans="1:44" ht="14.25" x14ac:dyDescent="0.2">
      <c r="A94" s="128"/>
      <c r="AR94"/>
    </row>
    <row r="95" spans="1:44" ht="14.25" x14ac:dyDescent="0.2">
      <c r="A95" s="128"/>
      <c r="AR95"/>
    </row>
    <row r="96" spans="1:44" ht="14.25" x14ac:dyDescent="0.2">
      <c r="A96" s="128"/>
      <c r="AR96"/>
    </row>
    <row r="97" spans="1:44" ht="14.25" x14ac:dyDescent="0.2">
      <c r="A97" s="128"/>
      <c r="AR97"/>
    </row>
    <row r="98" spans="1:44" ht="14.25" x14ac:dyDescent="0.2">
      <c r="A98" s="128"/>
      <c r="AR98"/>
    </row>
    <row r="99" spans="1:44" ht="14.25" x14ac:dyDescent="0.2">
      <c r="A99" s="128"/>
      <c r="AR99"/>
    </row>
    <row r="100" spans="1:44" ht="14.25" x14ac:dyDescent="0.2">
      <c r="A100" s="128"/>
      <c r="AR100"/>
    </row>
    <row r="101" spans="1:44" ht="14.25" x14ac:dyDescent="0.2">
      <c r="A101" s="128"/>
      <c r="AR101"/>
    </row>
    <row r="102" spans="1:44" ht="14.25" x14ac:dyDescent="0.2">
      <c r="A102" s="128"/>
      <c r="AR102"/>
    </row>
    <row r="103" spans="1:44" ht="14.25" x14ac:dyDescent="0.2">
      <c r="A103" s="128"/>
      <c r="AR103"/>
    </row>
    <row r="104" spans="1:44" ht="14.25" x14ac:dyDescent="0.2">
      <c r="A104" s="128"/>
      <c r="AR104"/>
    </row>
    <row r="105" spans="1:44" ht="14.25" x14ac:dyDescent="0.2">
      <c r="A105" s="128"/>
      <c r="AR105"/>
    </row>
    <row r="106" spans="1:44" ht="14.25" x14ac:dyDescent="0.2">
      <c r="A106" s="128"/>
      <c r="AR106"/>
    </row>
    <row r="107" spans="1:44" ht="14.25" x14ac:dyDescent="0.2">
      <c r="A107" s="128"/>
      <c r="AR107"/>
    </row>
    <row r="108" spans="1:44" ht="14.25" x14ac:dyDescent="0.2">
      <c r="A108" s="128"/>
      <c r="AR108"/>
    </row>
    <row r="109" spans="1:44" ht="14.25" x14ac:dyDescent="0.2">
      <c r="A109" s="128"/>
      <c r="AR109"/>
    </row>
    <row r="110" spans="1:44" ht="14.25" x14ac:dyDescent="0.2">
      <c r="A110" s="128"/>
      <c r="AR110"/>
    </row>
    <row r="111" spans="1:44" ht="14.25" x14ac:dyDescent="0.2">
      <c r="A111" s="128"/>
      <c r="AR111"/>
    </row>
    <row r="112" spans="1:44" ht="14.25" x14ac:dyDescent="0.2">
      <c r="A112" s="128"/>
      <c r="AR112"/>
    </row>
    <row r="113" spans="1:44" ht="14.25" x14ac:dyDescent="0.2">
      <c r="A113" s="128"/>
      <c r="AR113"/>
    </row>
    <row r="114" spans="1:44" ht="14.25" x14ac:dyDescent="0.2">
      <c r="A114" s="128"/>
      <c r="AR114"/>
    </row>
    <row r="115" spans="1:44" ht="14.25" x14ac:dyDescent="0.2">
      <c r="A115" s="128"/>
      <c r="AR115"/>
    </row>
    <row r="116" spans="1:44" ht="14.25" x14ac:dyDescent="0.2">
      <c r="A116" s="128"/>
      <c r="AR116"/>
    </row>
    <row r="117" spans="1:44" ht="14.25" x14ac:dyDescent="0.2">
      <c r="A117" s="128"/>
      <c r="AR117"/>
    </row>
    <row r="118" spans="1:44" ht="14.25" x14ac:dyDescent="0.2">
      <c r="A118" s="128"/>
      <c r="AR118"/>
    </row>
    <row r="119" spans="1:44" ht="14.25" x14ac:dyDescent="0.2">
      <c r="A119" s="128"/>
      <c r="AR119"/>
    </row>
    <row r="120" spans="1:44" ht="14.25" x14ac:dyDescent="0.2">
      <c r="A120" s="128"/>
      <c r="AR120"/>
    </row>
    <row r="121" spans="1:44" ht="14.25" x14ac:dyDescent="0.2">
      <c r="A121" s="128"/>
      <c r="AR121"/>
    </row>
    <row r="122" spans="1:44" ht="14.25" x14ac:dyDescent="0.2">
      <c r="A122" s="128"/>
      <c r="AR122"/>
    </row>
    <row r="123" spans="1:44" ht="14.25" x14ac:dyDescent="0.2">
      <c r="A123" s="128"/>
      <c r="AR123"/>
    </row>
    <row r="124" spans="1:44" ht="14.25" x14ac:dyDescent="0.2">
      <c r="A124" s="128"/>
      <c r="AR124"/>
    </row>
    <row r="125" spans="1:44" ht="14.25" x14ac:dyDescent="0.2">
      <c r="A125" s="128"/>
      <c r="AR125"/>
    </row>
    <row r="126" spans="1:44" ht="14.25" x14ac:dyDescent="0.2">
      <c r="A126" s="128"/>
      <c r="AR126"/>
    </row>
    <row r="127" spans="1:44" ht="14.25" x14ac:dyDescent="0.2">
      <c r="A127" s="128"/>
      <c r="AR127"/>
    </row>
    <row r="128" spans="1:44" ht="14.25" x14ac:dyDescent="0.2">
      <c r="A128" s="128"/>
      <c r="AR128"/>
    </row>
    <row r="129" spans="1:44" ht="14.25" x14ac:dyDescent="0.2">
      <c r="A129" s="128"/>
      <c r="AR129"/>
    </row>
    <row r="130" spans="1:44" ht="14.25" x14ac:dyDescent="0.2">
      <c r="A130" s="128"/>
      <c r="AR130"/>
    </row>
    <row r="131" spans="1:44" ht="14.25" x14ac:dyDescent="0.2">
      <c r="A131" s="128"/>
      <c r="AR131"/>
    </row>
    <row r="132" spans="1:44" ht="14.25" x14ac:dyDescent="0.2">
      <c r="A132" s="128"/>
      <c r="AR132"/>
    </row>
    <row r="133" spans="1:44" ht="14.25" x14ac:dyDescent="0.2">
      <c r="A133" s="128"/>
      <c r="AR133"/>
    </row>
    <row r="134" spans="1:44" ht="14.25" x14ac:dyDescent="0.2">
      <c r="A134" s="128"/>
      <c r="AR134"/>
    </row>
    <row r="135" spans="1:44" ht="14.25" x14ac:dyDescent="0.2">
      <c r="A135" s="128"/>
      <c r="AR135"/>
    </row>
    <row r="136" spans="1:44" ht="14.25" x14ac:dyDescent="0.2">
      <c r="A136" s="128"/>
      <c r="AR136"/>
    </row>
    <row r="137" spans="1:44" ht="14.25" x14ac:dyDescent="0.2">
      <c r="A137" s="128"/>
      <c r="AR137"/>
    </row>
    <row r="138" spans="1:44" ht="14.25" x14ac:dyDescent="0.2">
      <c r="A138" s="128"/>
      <c r="AR138"/>
    </row>
    <row r="139" spans="1:44" ht="14.25" x14ac:dyDescent="0.2">
      <c r="A139" s="128"/>
      <c r="AR139"/>
    </row>
    <row r="140" spans="1:44" ht="14.25" x14ac:dyDescent="0.2">
      <c r="A140" s="128"/>
      <c r="AR140"/>
    </row>
    <row r="141" spans="1:44" ht="14.25" x14ac:dyDescent="0.2">
      <c r="A141" s="128"/>
      <c r="AR141"/>
    </row>
    <row r="142" spans="1:44" ht="14.25" x14ac:dyDescent="0.2">
      <c r="A142" s="128"/>
      <c r="AR142"/>
    </row>
    <row r="143" spans="1:44" ht="14.25" x14ac:dyDescent="0.2">
      <c r="A143" s="128"/>
      <c r="AR143"/>
    </row>
    <row r="144" spans="1:44" ht="14.25" x14ac:dyDescent="0.2">
      <c r="A144" s="128"/>
      <c r="AR144"/>
    </row>
    <row r="145" spans="1:44" ht="14.25" x14ac:dyDescent="0.2">
      <c r="A145" s="128"/>
      <c r="AR145"/>
    </row>
    <row r="146" spans="1:44" ht="14.25" x14ac:dyDescent="0.2">
      <c r="A146" s="128"/>
      <c r="AR146"/>
    </row>
    <row r="147" spans="1:44" ht="14.25" x14ac:dyDescent="0.2">
      <c r="A147" s="128"/>
      <c r="AR147"/>
    </row>
    <row r="148" spans="1:44" ht="14.25" x14ac:dyDescent="0.2">
      <c r="A148" s="128"/>
      <c r="AR148"/>
    </row>
    <row r="149" spans="1:44" ht="14.25" x14ac:dyDescent="0.2">
      <c r="A149" s="128"/>
      <c r="AR149"/>
    </row>
    <row r="150" spans="1:44" ht="14.25" x14ac:dyDescent="0.2">
      <c r="A150" s="128"/>
      <c r="AR150"/>
    </row>
    <row r="151" spans="1:44" ht="14.25" x14ac:dyDescent="0.2">
      <c r="A151" s="128"/>
      <c r="AR151"/>
    </row>
    <row r="152" spans="1:44" ht="14.25" x14ac:dyDescent="0.2">
      <c r="A152" s="128"/>
      <c r="AR152"/>
    </row>
    <row r="153" spans="1:44" ht="14.25" x14ac:dyDescent="0.2">
      <c r="A153" s="128"/>
      <c r="AR153"/>
    </row>
    <row r="154" spans="1:44" ht="14.25" x14ac:dyDescent="0.2">
      <c r="A154" s="128"/>
      <c r="AR154"/>
    </row>
    <row r="155" spans="1:44" ht="14.25" x14ac:dyDescent="0.2">
      <c r="A155" s="128"/>
      <c r="AR155"/>
    </row>
    <row r="156" spans="1:44" ht="14.25" x14ac:dyDescent="0.2">
      <c r="A156" s="128"/>
      <c r="AR156"/>
    </row>
    <row r="157" spans="1:44" ht="14.25" x14ac:dyDescent="0.2">
      <c r="A157" s="128"/>
      <c r="AR157"/>
    </row>
    <row r="158" spans="1:44" ht="14.25" x14ac:dyDescent="0.2">
      <c r="A158" s="128"/>
      <c r="AR158"/>
    </row>
    <row r="159" spans="1:44" ht="14.25" x14ac:dyDescent="0.2">
      <c r="A159" s="128"/>
      <c r="AR159"/>
    </row>
    <row r="160" spans="1:44" ht="14.25" x14ac:dyDescent="0.2">
      <c r="A160" s="128"/>
      <c r="AR160"/>
    </row>
    <row r="161" spans="1:44" ht="14.25" x14ac:dyDescent="0.2">
      <c r="A161" s="128"/>
      <c r="AR161"/>
    </row>
    <row r="162" spans="1:44" ht="14.25" x14ac:dyDescent="0.2">
      <c r="A162" s="128"/>
      <c r="AR162"/>
    </row>
    <row r="163" spans="1:44" ht="14.25" x14ac:dyDescent="0.2">
      <c r="A163" s="128"/>
      <c r="AR163"/>
    </row>
    <row r="164" spans="1:44" ht="14.25" x14ac:dyDescent="0.2">
      <c r="A164" s="128"/>
      <c r="AR164"/>
    </row>
    <row r="165" spans="1:44" ht="14.25" x14ac:dyDescent="0.2">
      <c r="A165" s="128"/>
      <c r="AR165"/>
    </row>
    <row r="166" spans="1:44" ht="14.25" x14ac:dyDescent="0.2">
      <c r="A166" s="128"/>
      <c r="AR166"/>
    </row>
    <row r="167" spans="1:44" ht="14.25" x14ac:dyDescent="0.2">
      <c r="A167" s="128"/>
      <c r="AR167"/>
    </row>
    <row r="168" spans="1:44" ht="14.25" x14ac:dyDescent="0.2">
      <c r="A168" s="128"/>
      <c r="AR168"/>
    </row>
    <row r="169" spans="1:44" ht="14.25" x14ac:dyDescent="0.2">
      <c r="A169" s="128"/>
      <c r="AR169"/>
    </row>
    <row r="170" spans="1:44" ht="14.25" x14ac:dyDescent="0.2">
      <c r="A170" s="128"/>
      <c r="AR170"/>
    </row>
    <row r="171" spans="1:44" ht="14.25" x14ac:dyDescent="0.2">
      <c r="A171" s="128"/>
      <c r="AR171"/>
    </row>
    <row r="172" spans="1:44" ht="14.25" x14ac:dyDescent="0.2">
      <c r="A172" s="128"/>
      <c r="AR172"/>
    </row>
    <row r="173" spans="1:44" ht="14.25" x14ac:dyDescent="0.2">
      <c r="A173" s="128"/>
      <c r="AR173"/>
    </row>
    <row r="174" spans="1:44" ht="14.25" x14ac:dyDescent="0.2">
      <c r="A174" s="128"/>
      <c r="AR174"/>
    </row>
    <row r="175" spans="1:44" ht="14.25" x14ac:dyDescent="0.2">
      <c r="A175" s="128"/>
      <c r="AR175"/>
    </row>
    <row r="176" spans="1:44" ht="14.25" x14ac:dyDescent="0.2">
      <c r="A176" s="128"/>
      <c r="AR176"/>
    </row>
    <row r="177" spans="1:44" ht="14.25" x14ac:dyDescent="0.2">
      <c r="A177" s="128"/>
      <c r="AR177"/>
    </row>
    <row r="178" spans="1:44" ht="14.25" x14ac:dyDescent="0.2">
      <c r="A178" s="128"/>
      <c r="AR178"/>
    </row>
    <row r="179" spans="1:44" ht="14.25" x14ac:dyDescent="0.2">
      <c r="A179" s="128"/>
      <c r="AR179"/>
    </row>
    <row r="180" spans="1:44" ht="14.25" x14ac:dyDescent="0.2">
      <c r="A180" s="128"/>
      <c r="AR180"/>
    </row>
    <row r="181" spans="1:44" ht="14.25" x14ac:dyDescent="0.2">
      <c r="A181" s="128"/>
      <c r="AR181"/>
    </row>
    <row r="182" spans="1:44" ht="14.25" x14ac:dyDescent="0.2">
      <c r="A182" s="128"/>
      <c r="AR182"/>
    </row>
    <row r="183" spans="1:44" ht="14.25" x14ac:dyDescent="0.2">
      <c r="A183" s="128"/>
      <c r="AR183"/>
    </row>
    <row r="184" spans="1:44" ht="14.25" x14ac:dyDescent="0.2">
      <c r="A184" s="128"/>
      <c r="AR184"/>
    </row>
    <row r="185" spans="1:44" ht="14.25" x14ac:dyDescent="0.2">
      <c r="A185" s="128"/>
      <c r="AR185"/>
    </row>
    <row r="186" spans="1:44" ht="14.25" x14ac:dyDescent="0.2">
      <c r="A186" s="128"/>
      <c r="AR186"/>
    </row>
    <row r="187" spans="1:44" ht="14.25" x14ac:dyDescent="0.2">
      <c r="A187" s="128"/>
      <c r="AR187"/>
    </row>
    <row r="188" spans="1:44" ht="14.25" x14ac:dyDescent="0.2">
      <c r="A188" s="128"/>
      <c r="AR188"/>
    </row>
    <row r="189" spans="1:44" ht="14.25" x14ac:dyDescent="0.2">
      <c r="A189" s="128"/>
      <c r="AR189"/>
    </row>
    <row r="190" spans="1:44" ht="14.25" x14ac:dyDescent="0.2">
      <c r="A190" s="128"/>
      <c r="AR190"/>
    </row>
    <row r="191" spans="1:44" ht="14.25" x14ac:dyDescent="0.2">
      <c r="A191" s="128"/>
      <c r="AR191"/>
    </row>
    <row r="192" spans="1:44" ht="14.25" x14ac:dyDescent="0.2">
      <c r="A192" s="128"/>
      <c r="AR192"/>
    </row>
    <row r="193" spans="1:44" ht="14.25" x14ac:dyDescent="0.2">
      <c r="A193" s="128"/>
      <c r="AR193"/>
    </row>
    <row r="194" spans="1:44" ht="14.25" x14ac:dyDescent="0.2">
      <c r="A194" s="128"/>
      <c r="AR194"/>
    </row>
    <row r="195" spans="1:44" ht="14.25" x14ac:dyDescent="0.2">
      <c r="A195" s="128"/>
      <c r="AR195"/>
    </row>
    <row r="196" spans="1:44" ht="14.25" x14ac:dyDescent="0.2">
      <c r="A196" s="128"/>
      <c r="AR196"/>
    </row>
    <row r="197" spans="1:44" ht="14.25" x14ac:dyDescent="0.2">
      <c r="A197" s="128"/>
      <c r="AR197"/>
    </row>
    <row r="198" spans="1:44" ht="14.25" x14ac:dyDescent="0.2">
      <c r="A198" s="128"/>
      <c r="AR198"/>
    </row>
    <row r="199" spans="1:44" ht="14.25" x14ac:dyDescent="0.2">
      <c r="A199" s="128"/>
      <c r="AR199"/>
    </row>
    <row r="200" spans="1:44" ht="14.25" x14ac:dyDescent="0.2">
      <c r="A200" s="128"/>
      <c r="AR200"/>
    </row>
    <row r="201" spans="1:44" ht="14.25" x14ac:dyDescent="0.2">
      <c r="A201" s="128"/>
      <c r="AR201"/>
    </row>
    <row r="202" spans="1:44" ht="14.25" x14ac:dyDescent="0.2">
      <c r="A202" s="128"/>
      <c r="AR202"/>
    </row>
    <row r="203" spans="1:44" ht="14.25" x14ac:dyDescent="0.2">
      <c r="A203" s="128"/>
      <c r="AR203"/>
    </row>
    <row r="204" spans="1:44" ht="14.25" x14ac:dyDescent="0.2">
      <c r="A204" s="128"/>
      <c r="AR204"/>
    </row>
    <row r="205" spans="1:44" ht="14.25" x14ac:dyDescent="0.2">
      <c r="A205" s="128"/>
      <c r="AR205"/>
    </row>
    <row r="206" spans="1:44" ht="14.25" x14ac:dyDescent="0.2">
      <c r="A206" s="128"/>
      <c r="AR206"/>
    </row>
    <row r="207" spans="1:44" ht="14.25" x14ac:dyDescent="0.2">
      <c r="A207" s="128"/>
      <c r="AR207"/>
    </row>
    <row r="208" spans="1:44" ht="14.25" x14ac:dyDescent="0.2">
      <c r="A208" s="128"/>
      <c r="AR208"/>
    </row>
    <row r="209" spans="1:44" ht="14.25" x14ac:dyDescent="0.2">
      <c r="A209" s="128"/>
      <c r="AR209"/>
    </row>
    <row r="210" spans="1:44" ht="14.25" x14ac:dyDescent="0.2">
      <c r="A210" s="128"/>
      <c r="AR210"/>
    </row>
    <row r="211" spans="1:44" ht="14.25" x14ac:dyDescent="0.2">
      <c r="A211" s="128"/>
      <c r="AR211"/>
    </row>
    <row r="212" spans="1:44" ht="14.25" x14ac:dyDescent="0.2">
      <c r="A212" s="128"/>
      <c r="AR212"/>
    </row>
    <row r="213" spans="1:44" ht="14.25" x14ac:dyDescent="0.2">
      <c r="A213" s="128"/>
      <c r="AR213"/>
    </row>
    <row r="214" spans="1:44" ht="14.25" x14ac:dyDescent="0.2">
      <c r="A214" s="128"/>
      <c r="AR214"/>
    </row>
    <row r="215" spans="1:44" ht="14.25" x14ac:dyDescent="0.2">
      <c r="A215" s="128"/>
      <c r="AR215"/>
    </row>
    <row r="216" spans="1:44" ht="14.25" x14ac:dyDescent="0.2">
      <c r="A216" s="128"/>
      <c r="AR216"/>
    </row>
    <row r="217" spans="1:44" ht="14.25" x14ac:dyDescent="0.2">
      <c r="A217" s="128"/>
      <c r="AR217"/>
    </row>
    <row r="218" spans="1:44" ht="14.25" x14ac:dyDescent="0.2">
      <c r="A218" s="128"/>
      <c r="AR218"/>
    </row>
    <row r="219" spans="1:44" ht="14.25" x14ac:dyDescent="0.2">
      <c r="A219" s="128"/>
      <c r="AR219"/>
    </row>
    <row r="220" spans="1:44" ht="14.25" x14ac:dyDescent="0.2">
      <c r="A220" s="128"/>
      <c r="AR220"/>
    </row>
    <row r="221" spans="1:44" ht="14.25" x14ac:dyDescent="0.2">
      <c r="A221" s="128"/>
      <c r="AR221"/>
    </row>
    <row r="222" spans="1:44" ht="14.25" x14ac:dyDescent="0.2">
      <c r="A222" s="128"/>
      <c r="AR222"/>
    </row>
    <row r="223" spans="1:44" ht="14.25" x14ac:dyDescent="0.2">
      <c r="A223" s="128"/>
      <c r="AR223"/>
    </row>
    <row r="224" spans="1:44" ht="14.25" x14ac:dyDescent="0.2">
      <c r="A224" s="128"/>
      <c r="AR224"/>
    </row>
    <row r="225" spans="1:44" ht="14.25" x14ac:dyDescent="0.2">
      <c r="A225" s="128"/>
      <c r="AR225"/>
    </row>
    <row r="226" spans="1:44" ht="14.25" x14ac:dyDescent="0.2">
      <c r="A226" s="128"/>
      <c r="AR226"/>
    </row>
    <row r="227" spans="1:44" ht="14.25" x14ac:dyDescent="0.2">
      <c r="A227" s="128"/>
      <c r="AR227"/>
    </row>
    <row r="228" spans="1:44" ht="14.25" x14ac:dyDescent="0.2">
      <c r="A228" s="128"/>
      <c r="AR228"/>
    </row>
    <row r="229" spans="1:44" ht="14.25" x14ac:dyDescent="0.2">
      <c r="A229" s="128"/>
      <c r="AR229"/>
    </row>
    <row r="230" spans="1:44" ht="14.25" x14ac:dyDescent="0.2">
      <c r="A230" s="128"/>
      <c r="AR230"/>
    </row>
    <row r="231" spans="1:44" ht="14.25" x14ac:dyDescent="0.2">
      <c r="A231" s="128"/>
      <c r="AR231"/>
    </row>
    <row r="232" spans="1:44" ht="14.25" x14ac:dyDescent="0.2">
      <c r="A232" s="128"/>
      <c r="AR232"/>
    </row>
    <row r="233" spans="1:44" ht="14.25" x14ac:dyDescent="0.2">
      <c r="A233" s="128"/>
      <c r="AR233"/>
    </row>
    <row r="234" spans="1:44" ht="14.25" x14ac:dyDescent="0.2">
      <c r="A234" s="128"/>
      <c r="AR234"/>
    </row>
    <row r="235" spans="1:44" ht="14.25" x14ac:dyDescent="0.2">
      <c r="A235" s="128"/>
      <c r="AR235"/>
    </row>
    <row r="236" spans="1:44" ht="14.25" x14ac:dyDescent="0.2">
      <c r="A236" s="128"/>
      <c r="AR236"/>
    </row>
    <row r="237" spans="1:44" ht="14.25" x14ac:dyDescent="0.2">
      <c r="A237" s="128"/>
      <c r="AR237"/>
    </row>
    <row r="238" spans="1:44" ht="14.25" x14ac:dyDescent="0.2">
      <c r="A238" s="128"/>
      <c r="AR238"/>
    </row>
    <row r="239" spans="1:44" ht="14.25" x14ac:dyDescent="0.2">
      <c r="A239" s="128"/>
      <c r="AR239"/>
    </row>
    <row r="240" spans="1:44" ht="14.25" x14ac:dyDescent="0.2">
      <c r="A240" s="128"/>
      <c r="AR240"/>
    </row>
    <row r="241" spans="1:44" ht="14.25" x14ac:dyDescent="0.2">
      <c r="A241" s="128"/>
      <c r="AR241"/>
    </row>
    <row r="242" spans="1:44" ht="14.25" x14ac:dyDescent="0.2">
      <c r="A242" s="128"/>
      <c r="AR242"/>
    </row>
    <row r="243" spans="1:44" ht="14.25" x14ac:dyDescent="0.2">
      <c r="A243" s="128"/>
      <c r="AR243"/>
    </row>
    <row r="244" spans="1:44" ht="14.25" x14ac:dyDescent="0.2">
      <c r="A244" s="128"/>
      <c r="AR244"/>
    </row>
    <row r="245" spans="1:44" ht="14.25" x14ac:dyDescent="0.2">
      <c r="A245" s="128"/>
      <c r="AR245"/>
    </row>
    <row r="246" spans="1:44" ht="14.25" x14ac:dyDescent="0.2">
      <c r="A246" s="128"/>
      <c r="AR246"/>
    </row>
    <row r="247" spans="1:44" ht="14.25" x14ac:dyDescent="0.2">
      <c r="A247" s="128"/>
      <c r="AR247"/>
    </row>
    <row r="248" spans="1:44" ht="14.25" x14ac:dyDescent="0.2">
      <c r="A248" s="128"/>
      <c r="AR248"/>
    </row>
    <row r="249" spans="1:44" ht="14.25" x14ac:dyDescent="0.2">
      <c r="A249" s="128"/>
      <c r="AR249"/>
    </row>
    <row r="250" spans="1:44" ht="14.25" x14ac:dyDescent="0.2">
      <c r="A250" s="128"/>
      <c r="AR250"/>
    </row>
    <row r="251" spans="1:44" ht="14.25" x14ac:dyDescent="0.2">
      <c r="A251" s="128"/>
      <c r="AR251"/>
    </row>
    <row r="252" spans="1:44" ht="14.25" x14ac:dyDescent="0.2">
      <c r="A252" s="128"/>
      <c r="AR252"/>
    </row>
    <row r="253" spans="1:44" ht="14.25" x14ac:dyDescent="0.2">
      <c r="A253" s="128"/>
      <c r="AR253"/>
    </row>
    <row r="254" spans="1:44" ht="14.25" x14ac:dyDescent="0.2">
      <c r="A254" s="128"/>
      <c r="AR254"/>
    </row>
    <row r="255" spans="1:44" ht="14.25" x14ac:dyDescent="0.2">
      <c r="A255" s="128"/>
      <c r="AR255"/>
    </row>
    <row r="256" spans="1:44" ht="14.25" x14ac:dyDescent="0.2">
      <c r="A256" s="128"/>
      <c r="AR256"/>
    </row>
    <row r="257" spans="1:44" ht="14.25" x14ac:dyDescent="0.2">
      <c r="A257" s="128"/>
      <c r="AR257"/>
    </row>
    <row r="258" spans="1:44" ht="14.25" x14ac:dyDescent="0.2">
      <c r="A258" s="128"/>
      <c r="AR258"/>
    </row>
    <row r="259" spans="1:44" ht="14.25" x14ac:dyDescent="0.2">
      <c r="A259" s="128"/>
      <c r="AR259"/>
    </row>
    <row r="260" spans="1:44" ht="14.25" x14ac:dyDescent="0.2">
      <c r="A260" s="128"/>
      <c r="AR260"/>
    </row>
    <row r="261" spans="1:44" ht="14.25" x14ac:dyDescent="0.2">
      <c r="A261" s="128"/>
      <c r="AR261"/>
    </row>
    <row r="262" spans="1:44" ht="14.25" x14ac:dyDescent="0.2">
      <c r="A262" s="128"/>
      <c r="AR262"/>
    </row>
    <row r="263" spans="1:44" ht="14.25" x14ac:dyDescent="0.2">
      <c r="A263" s="128"/>
      <c r="AR263"/>
    </row>
    <row r="264" spans="1:44" ht="14.25" x14ac:dyDescent="0.2">
      <c r="A264" s="128"/>
      <c r="AR264"/>
    </row>
    <row r="265" spans="1:44" ht="14.25" x14ac:dyDescent="0.2">
      <c r="A265" s="128"/>
      <c r="AR265"/>
    </row>
    <row r="266" spans="1:44" ht="14.25" x14ac:dyDescent="0.2">
      <c r="A266" s="128"/>
      <c r="AR266"/>
    </row>
    <row r="267" spans="1:44" ht="14.25" x14ac:dyDescent="0.2">
      <c r="A267" s="128"/>
      <c r="AR267"/>
    </row>
    <row r="268" spans="1:44" ht="14.25" x14ac:dyDescent="0.2">
      <c r="A268" s="128"/>
      <c r="AR268"/>
    </row>
    <row r="269" spans="1:44" ht="14.25" x14ac:dyDescent="0.2">
      <c r="A269" s="128"/>
      <c r="AR269"/>
    </row>
    <row r="270" spans="1:44" ht="14.25" x14ac:dyDescent="0.2">
      <c r="A270" s="128"/>
      <c r="AR270"/>
    </row>
    <row r="271" spans="1:44" ht="14.25" x14ac:dyDescent="0.2">
      <c r="A271" s="128"/>
      <c r="AR271"/>
    </row>
    <row r="272" spans="1:44" ht="14.25" x14ac:dyDescent="0.2">
      <c r="A272" s="128"/>
      <c r="AR272"/>
    </row>
    <row r="273" spans="1:44" ht="14.25" x14ac:dyDescent="0.2">
      <c r="A273" s="128"/>
      <c r="AR273"/>
    </row>
    <row r="274" spans="1:44" ht="14.25" x14ac:dyDescent="0.2">
      <c r="A274" s="128"/>
      <c r="AR274"/>
    </row>
    <row r="275" spans="1:44" ht="14.25" x14ac:dyDescent="0.2">
      <c r="A275" s="128"/>
      <c r="AR275"/>
    </row>
    <row r="276" spans="1:44" ht="14.25" x14ac:dyDescent="0.2">
      <c r="A276" s="128"/>
      <c r="AR276"/>
    </row>
    <row r="277" spans="1:44" ht="14.25" x14ac:dyDescent="0.2">
      <c r="A277" s="128"/>
      <c r="AR277"/>
    </row>
    <row r="278" spans="1:44" ht="14.25" x14ac:dyDescent="0.2">
      <c r="A278" s="128"/>
      <c r="AR278"/>
    </row>
    <row r="279" spans="1:44" ht="14.25" x14ac:dyDescent="0.2">
      <c r="A279" s="128"/>
      <c r="AR279"/>
    </row>
    <row r="280" spans="1:44" ht="14.25" x14ac:dyDescent="0.2">
      <c r="A280" s="128"/>
      <c r="AR280"/>
    </row>
    <row r="281" spans="1:44" ht="14.25" x14ac:dyDescent="0.2">
      <c r="A281" s="128"/>
      <c r="AR281"/>
    </row>
    <row r="282" spans="1:44" ht="14.25" x14ac:dyDescent="0.2">
      <c r="A282" s="128"/>
      <c r="AR282"/>
    </row>
    <row r="283" spans="1:44" ht="14.25" x14ac:dyDescent="0.2">
      <c r="A283" s="128"/>
      <c r="AR283"/>
    </row>
    <row r="284" spans="1:44" ht="14.25" x14ac:dyDescent="0.2">
      <c r="A284" s="128"/>
      <c r="AR284"/>
    </row>
    <row r="285" spans="1:44" ht="14.25" x14ac:dyDescent="0.2">
      <c r="A285" s="128"/>
      <c r="AR285"/>
    </row>
    <row r="286" spans="1:44" ht="14.25" x14ac:dyDescent="0.2">
      <c r="A286" s="128"/>
      <c r="AR286"/>
    </row>
    <row r="287" spans="1:44" ht="14.25" x14ac:dyDescent="0.2">
      <c r="A287" s="128"/>
      <c r="AR287"/>
    </row>
    <row r="288" spans="1:44" ht="14.25" x14ac:dyDescent="0.2">
      <c r="A288" s="128"/>
      <c r="AR288"/>
    </row>
    <row r="289" spans="1:44" ht="14.25" x14ac:dyDescent="0.2">
      <c r="A289" s="128"/>
      <c r="AR289"/>
    </row>
    <row r="290" spans="1:44" ht="14.25" x14ac:dyDescent="0.2">
      <c r="A290" s="128"/>
      <c r="AR290"/>
    </row>
    <row r="291" spans="1:44" ht="14.25" x14ac:dyDescent="0.2">
      <c r="A291" s="128"/>
      <c r="AR291"/>
    </row>
    <row r="292" spans="1:44" ht="14.25" x14ac:dyDescent="0.2">
      <c r="A292" s="128"/>
      <c r="AR292"/>
    </row>
    <row r="293" spans="1:44" ht="14.25" x14ac:dyDescent="0.2">
      <c r="A293" s="128"/>
      <c r="AR293"/>
    </row>
    <row r="294" spans="1:44" ht="14.25" x14ac:dyDescent="0.2">
      <c r="A294" s="128"/>
      <c r="AR294"/>
    </row>
    <row r="295" spans="1:44" ht="14.25" x14ac:dyDescent="0.2">
      <c r="A295" s="128"/>
      <c r="AR295"/>
    </row>
    <row r="296" spans="1:44" ht="14.25" x14ac:dyDescent="0.2">
      <c r="A296" s="128"/>
      <c r="AR296"/>
    </row>
    <row r="297" spans="1:44" ht="14.25" x14ac:dyDescent="0.2">
      <c r="A297" s="128"/>
      <c r="AR297"/>
    </row>
    <row r="298" spans="1:44" ht="14.25" x14ac:dyDescent="0.2">
      <c r="A298" s="128"/>
      <c r="AR298"/>
    </row>
    <row r="299" spans="1:44" ht="14.25" x14ac:dyDescent="0.2">
      <c r="A299" s="128"/>
      <c r="AR299"/>
    </row>
    <row r="300" spans="1:44" ht="14.25" x14ac:dyDescent="0.2">
      <c r="A300" s="128"/>
      <c r="AR300"/>
    </row>
    <row r="301" spans="1:44" ht="14.25" x14ac:dyDescent="0.2">
      <c r="A301" s="128"/>
      <c r="AR301"/>
    </row>
    <row r="302" spans="1:44" ht="14.25" x14ac:dyDescent="0.2">
      <c r="A302" s="128"/>
      <c r="AR302"/>
    </row>
    <row r="303" spans="1:44" ht="14.25" x14ac:dyDescent="0.2">
      <c r="A303" s="128"/>
      <c r="AR303"/>
    </row>
    <row r="304" spans="1:44" ht="14.25" x14ac:dyDescent="0.2">
      <c r="A304" s="128"/>
      <c r="AR304"/>
    </row>
    <row r="305" spans="1:44" ht="14.25" x14ac:dyDescent="0.2">
      <c r="A305" s="128"/>
      <c r="AR305"/>
    </row>
    <row r="306" spans="1:44" ht="14.25" x14ac:dyDescent="0.2">
      <c r="A306" s="128"/>
      <c r="AR306"/>
    </row>
    <row r="307" spans="1:44" ht="14.25" x14ac:dyDescent="0.2">
      <c r="A307" s="128"/>
      <c r="AR307"/>
    </row>
    <row r="308" spans="1:44" ht="14.25" x14ac:dyDescent="0.2">
      <c r="A308" s="128"/>
      <c r="AR308"/>
    </row>
    <row r="309" spans="1:44" ht="14.25" x14ac:dyDescent="0.2">
      <c r="A309" s="128"/>
      <c r="AR309"/>
    </row>
    <row r="310" spans="1:44" ht="14.25" x14ac:dyDescent="0.2">
      <c r="A310" s="128"/>
      <c r="AR310"/>
    </row>
    <row r="311" spans="1:44" ht="14.25" x14ac:dyDescent="0.2">
      <c r="A311" s="128"/>
      <c r="AR311"/>
    </row>
    <row r="312" spans="1:44" ht="14.25" x14ac:dyDescent="0.2">
      <c r="A312" s="128"/>
      <c r="AR312"/>
    </row>
    <row r="313" spans="1:44" ht="14.25" x14ac:dyDescent="0.2">
      <c r="A313" s="128"/>
      <c r="AR313"/>
    </row>
    <row r="314" spans="1:44" ht="14.25" x14ac:dyDescent="0.2">
      <c r="A314" s="128"/>
      <c r="AR314"/>
    </row>
    <row r="315" spans="1:44" ht="14.25" x14ac:dyDescent="0.2">
      <c r="A315" s="128"/>
      <c r="AR315"/>
    </row>
    <row r="316" spans="1:44" ht="14.25" x14ac:dyDescent="0.2">
      <c r="A316" s="128"/>
      <c r="AR316"/>
    </row>
    <row r="317" spans="1:44" ht="14.25" x14ac:dyDescent="0.2">
      <c r="A317" s="128"/>
      <c r="AR317"/>
    </row>
    <row r="318" spans="1:44" ht="14.25" x14ac:dyDescent="0.2">
      <c r="A318" s="128"/>
      <c r="AR318"/>
    </row>
    <row r="319" spans="1:44" ht="14.25" x14ac:dyDescent="0.2">
      <c r="A319" s="128"/>
      <c r="AR319"/>
    </row>
    <row r="320" spans="1:44" ht="14.25" x14ac:dyDescent="0.2">
      <c r="A320" s="128"/>
      <c r="AR320"/>
    </row>
    <row r="321" spans="1:44" ht="14.25" x14ac:dyDescent="0.2">
      <c r="A321" s="128"/>
      <c r="AR321"/>
    </row>
    <row r="322" spans="1:44" ht="14.25" x14ac:dyDescent="0.2">
      <c r="A322" s="128"/>
      <c r="AR322"/>
    </row>
    <row r="323" spans="1:44" ht="14.25" x14ac:dyDescent="0.2">
      <c r="A323" s="128"/>
      <c r="AR323"/>
    </row>
    <row r="324" spans="1:44" ht="14.25" x14ac:dyDescent="0.2">
      <c r="A324" s="128"/>
      <c r="AR324"/>
    </row>
    <row r="325" spans="1:44" ht="14.25" x14ac:dyDescent="0.2">
      <c r="A325" s="128"/>
      <c r="AR325"/>
    </row>
    <row r="326" spans="1:44" ht="14.25" x14ac:dyDescent="0.2">
      <c r="A326" s="128"/>
      <c r="AR326"/>
    </row>
    <row r="327" spans="1:44" ht="14.25" x14ac:dyDescent="0.2">
      <c r="A327" s="128"/>
      <c r="AR327"/>
    </row>
    <row r="328" spans="1:44" ht="14.25" x14ac:dyDescent="0.2">
      <c r="A328" s="128"/>
      <c r="AR328"/>
    </row>
    <row r="329" spans="1:44" ht="14.25" x14ac:dyDescent="0.2">
      <c r="A329" s="128"/>
      <c r="AR329"/>
    </row>
    <row r="330" spans="1:44" ht="14.25" x14ac:dyDescent="0.2">
      <c r="A330" s="128"/>
      <c r="AR330"/>
    </row>
    <row r="331" spans="1:44" ht="14.25" x14ac:dyDescent="0.2">
      <c r="A331" s="128"/>
      <c r="AR331"/>
    </row>
    <row r="332" spans="1:44" ht="14.25" x14ac:dyDescent="0.2">
      <c r="A332" s="128"/>
      <c r="AR332"/>
    </row>
    <row r="333" spans="1:44" ht="14.25" x14ac:dyDescent="0.2">
      <c r="A333" s="128"/>
      <c r="AR333"/>
    </row>
    <row r="334" spans="1:44" ht="14.25" x14ac:dyDescent="0.2">
      <c r="A334" s="128"/>
      <c r="AR334"/>
    </row>
    <row r="335" spans="1:44" ht="14.25" x14ac:dyDescent="0.2">
      <c r="A335" s="128"/>
      <c r="AR335"/>
    </row>
    <row r="336" spans="1:44" ht="14.25" x14ac:dyDescent="0.2">
      <c r="A336" s="128"/>
      <c r="AR336"/>
    </row>
    <row r="337" spans="1:44" ht="14.25" x14ac:dyDescent="0.2">
      <c r="A337" s="128"/>
      <c r="AR337"/>
    </row>
    <row r="338" spans="1:44" ht="14.25" x14ac:dyDescent="0.2">
      <c r="A338" s="128"/>
      <c r="AR338"/>
    </row>
    <row r="339" spans="1:44" ht="14.25" x14ac:dyDescent="0.2">
      <c r="A339" s="128"/>
      <c r="AR339"/>
    </row>
    <row r="340" spans="1:44" ht="14.25" x14ac:dyDescent="0.2">
      <c r="A340" s="128"/>
      <c r="AR340"/>
    </row>
    <row r="341" spans="1:44" ht="14.25" x14ac:dyDescent="0.2">
      <c r="A341" s="128"/>
      <c r="AR341"/>
    </row>
    <row r="342" spans="1:44" ht="14.25" x14ac:dyDescent="0.2">
      <c r="A342" s="128"/>
      <c r="AR342"/>
    </row>
    <row r="343" spans="1:44" ht="14.25" x14ac:dyDescent="0.2">
      <c r="A343" s="128"/>
      <c r="AR343"/>
    </row>
    <row r="344" spans="1:44" ht="14.25" x14ac:dyDescent="0.2">
      <c r="A344" s="128"/>
      <c r="AR344"/>
    </row>
    <row r="345" spans="1:44" ht="14.25" x14ac:dyDescent="0.2">
      <c r="A345" s="128"/>
      <c r="AR345"/>
    </row>
    <row r="346" spans="1:44" ht="14.25" x14ac:dyDescent="0.2">
      <c r="A346" s="128"/>
      <c r="AR346"/>
    </row>
    <row r="347" spans="1:44" ht="14.25" x14ac:dyDescent="0.2">
      <c r="A347" s="128"/>
      <c r="AR347"/>
    </row>
    <row r="348" spans="1:44" ht="14.25" x14ac:dyDescent="0.2">
      <c r="A348" s="128"/>
      <c r="AR348"/>
    </row>
    <row r="349" spans="1:44" ht="14.25" x14ac:dyDescent="0.2">
      <c r="A349" s="128"/>
      <c r="AR349"/>
    </row>
    <row r="350" spans="1:44" ht="14.25" x14ac:dyDescent="0.2">
      <c r="A350" s="128"/>
      <c r="AR350"/>
    </row>
    <row r="351" spans="1:44" ht="14.25" x14ac:dyDescent="0.2">
      <c r="A351" s="128"/>
      <c r="AR351"/>
    </row>
    <row r="352" spans="1:44" ht="14.25" x14ac:dyDescent="0.2">
      <c r="A352" s="128"/>
      <c r="AR352"/>
    </row>
    <row r="353" spans="1:44" ht="14.25" x14ac:dyDescent="0.2">
      <c r="A353" s="128"/>
      <c r="AR353"/>
    </row>
    <row r="354" spans="1:44" ht="14.25" x14ac:dyDescent="0.2">
      <c r="A354" s="128"/>
      <c r="AR354"/>
    </row>
    <row r="355" spans="1:44" ht="14.25" x14ac:dyDescent="0.2">
      <c r="A355" s="128"/>
      <c r="AR355"/>
    </row>
    <row r="356" spans="1:44" ht="14.25" x14ac:dyDescent="0.2">
      <c r="A356" s="128"/>
      <c r="AR356"/>
    </row>
    <row r="357" spans="1:44" ht="14.25" x14ac:dyDescent="0.2">
      <c r="A357" s="128"/>
      <c r="AR357"/>
    </row>
    <row r="358" spans="1:44" ht="14.25" x14ac:dyDescent="0.2">
      <c r="A358" s="128"/>
      <c r="AR358"/>
    </row>
    <row r="359" spans="1:44" ht="14.25" x14ac:dyDescent="0.2">
      <c r="A359" s="128"/>
      <c r="AR359"/>
    </row>
    <row r="360" spans="1:44" ht="14.25" x14ac:dyDescent="0.2">
      <c r="A360" s="128"/>
      <c r="AR360"/>
    </row>
    <row r="361" spans="1:44" ht="14.25" x14ac:dyDescent="0.2">
      <c r="A361" s="128"/>
      <c r="AR361"/>
    </row>
    <row r="362" spans="1:44" ht="14.25" x14ac:dyDescent="0.2">
      <c r="A362" s="128"/>
      <c r="AR362"/>
    </row>
    <row r="363" spans="1:44" ht="14.25" x14ac:dyDescent="0.2">
      <c r="A363" s="128"/>
      <c r="AR363"/>
    </row>
    <row r="364" spans="1:44" ht="14.25" x14ac:dyDescent="0.2">
      <c r="A364" s="128"/>
      <c r="AR364"/>
    </row>
    <row r="365" spans="1:44" ht="14.25" x14ac:dyDescent="0.2">
      <c r="A365" s="128"/>
      <c r="AR365"/>
    </row>
    <row r="366" spans="1:44" ht="14.25" x14ac:dyDescent="0.2">
      <c r="A366" s="128"/>
      <c r="AR366"/>
    </row>
    <row r="367" spans="1:44" ht="14.25" x14ac:dyDescent="0.2">
      <c r="A367" s="128"/>
      <c r="AR367"/>
    </row>
    <row r="368" spans="1:44" ht="14.25" x14ac:dyDescent="0.2">
      <c r="A368" s="128"/>
      <c r="AR368"/>
    </row>
    <row r="369" spans="1:44" ht="14.25" x14ac:dyDescent="0.2">
      <c r="A369" s="128"/>
      <c r="AR369"/>
    </row>
    <row r="370" spans="1:44" ht="14.25" x14ac:dyDescent="0.2">
      <c r="A370" s="128"/>
      <c r="AR370"/>
    </row>
    <row r="371" spans="1:44" ht="14.25" x14ac:dyDescent="0.2">
      <c r="A371" s="128"/>
      <c r="AR371"/>
    </row>
    <row r="372" spans="1:44" ht="14.25" x14ac:dyDescent="0.2">
      <c r="A372" s="128"/>
      <c r="AR372"/>
    </row>
    <row r="373" spans="1:44" ht="14.25" x14ac:dyDescent="0.2">
      <c r="A373" s="128"/>
      <c r="AR373"/>
    </row>
    <row r="374" spans="1:44" ht="14.25" x14ac:dyDescent="0.2">
      <c r="A374" s="128"/>
      <c r="AR374"/>
    </row>
    <row r="375" spans="1:44" ht="14.25" x14ac:dyDescent="0.2">
      <c r="A375" s="128"/>
      <c r="AR375"/>
    </row>
    <row r="376" spans="1:44" ht="14.25" x14ac:dyDescent="0.2">
      <c r="A376" s="128"/>
      <c r="AR376"/>
    </row>
    <row r="377" spans="1:44" ht="14.25" x14ac:dyDescent="0.2">
      <c r="A377" s="128"/>
      <c r="AR377"/>
    </row>
    <row r="378" spans="1:44" ht="14.25" x14ac:dyDescent="0.2">
      <c r="A378" s="128"/>
      <c r="AR378"/>
    </row>
    <row r="379" spans="1:44" ht="14.25" x14ac:dyDescent="0.2">
      <c r="A379" s="128"/>
      <c r="AR379"/>
    </row>
    <row r="380" spans="1:44" ht="14.25" x14ac:dyDescent="0.2">
      <c r="A380" s="128"/>
      <c r="AR380"/>
    </row>
    <row r="381" spans="1:44" ht="14.25" x14ac:dyDescent="0.2">
      <c r="A381" s="128"/>
      <c r="AR381"/>
    </row>
    <row r="382" spans="1:44" ht="14.25" x14ac:dyDescent="0.2">
      <c r="A382" s="128"/>
      <c r="AR382"/>
    </row>
    <row r="383" spans="1:44" ht="14.25" x14ac:dyDescent="0.2">
      <c r="A383" s="128"/>
      <c r="AR383"/>
    </row>
    <row r="384" spans="1:44" ht="14.25" x14ac:dyDescent="0.2">
      <c r="A384" s="128"/>
      <c r="AR384"/>
    </row>
    <row r="385" spans="1:44" ht="14.25" x14ac:dyDescent="0.2">
      <c r="A385" s="128"/>
      <c r="AR385"/>
    </row>
    <row r="386" spans="1:44" ht="14.25" x14ac:dyDescent="0.2">
      <c r="A386" s="128"/>
      <c r="AR386"/>
    </row>
    <row r="387" spans="1:44" ht="14.25" x14ac:dyDescent="0.2">
      <c r="A387" s="128"/>
      <c r="AR387"/>
    </row>
    <row r="388" spans="1:44" ht="14.25" x14ac:dyDescent="0.2">
      <c r="A388" s="128"/>
      <c r="AR388"/>
    </row>
    <row r="389" spans="1:44" ht="14.25" x14ac:dyDescent="0.2">
      <c r="A389" s="128"/>
      <c r="AR389"/>
    </row>
    <row r="390" spans="1:44" ht="14.25" x14ac:dyDescent="0.2">
      <c r="A390" s="128"/>
      <c r="AR390"/>
    </row>
    <row r="391" spans="1:44" ht="14.25" x14ac:dyDescent="0.2">
      <c r="A391" s="128"/>
      <c r="AR391"/>
    </row>
    <row r="392" spans="1:44" ht="14.25" x14ac:dyDescent="0.2">
      <c r="A392" s="128"/>
      <c r="AR392"/>
    </row>
    <row r="393" spans="1:44" ht="14.25" x14ac:dyDescent="0.2">
      <c r="A393" s="128"/>
      <c r="AR393"/>
    </row>
    <row r="394" spans="1:44" ht="14.25" x14ac:dyDescent="0.2">
      <c r="A394" s="128"/>
      <c r="AR394"/>
    </row>
    <row r="395" spans="1:44" ht="14.25" x14ac:dyDescent="0.2">
      <c r="A395" s="128"/>
      <c r="AR395"/>
    </row>
    <row r="396" spans="1:44" ht="14.25" x14ac:dyDescent="0.2">
      <c r="A396" s="128"/>
      <c r="AR396"/>
    </row>
    <row r="397" spans="1:44" ht="14.25" x14ac:dyDescent="0.2">
      <c r="A397" s="128"/>
      <c r="AR397"/>
    </row>
    <row r="398" spans="1:44" ht="14.25" x14ac:dyDescent="0.2">
      <c r="A398" s="128"/>
      <c r="AR398"/>
    </row>
    <row r="399" spans="1:44" ht="14.25" x14ac:dyDescent="0.2">
      <c r="A399" s="128"/>
      <c r="AR399"/>
    </row>
    <row r="400" spans="1:44" ht="14.25" x14ac:dyDescent="0.2">
      <c r="A400" s="128"/>
      <c r="AR400"/>
    </row>
    <row r="401" spans="1:44" ht="14.25" x14ac:dyDescent="0.2">
      <c r="A401" s="128"/>
      <c r="AR401"/>
    </row>
    <row r="402" spans="1:44" ht="14.25" x14ac:dyDescent="0.2">
      <c r="A402" s="128"/>
      <c r="AR402"/>
    </row>
    <row r="403" spans="1:44" ht="14.25" x14ac:dyDescent="0.2">
      <c r="A403" s="128"/>
      <c r="AR403"/>
    </row>
    <row r="404" spans="1:44" ht="14.25" x14ac:dyDescent="0.2">
      <c r="A404" s="128"/>
      <c r="AR404"/>
    </row>
    <row r="405" spans="1:44" ht="14.25" x14ac:dyDescent="0.2">
      <c r="A405" s="128"/>
      <c r="AR405"/>
    </row>
    <row r="406" spans="1:44" ht="14.25" x14ac:dyDescent="0.2">
      <c r="A406" s="128"/>
      <c r="AR406"/>
    </row>
    <row r="407" spans="1:44" ht="14.25" x14ac:dyDescent="0.2">
      <c r="A407" s="128"/>
      <c r="AR407"/>
    </row>
    <row r="408" spans="1:44" ht="14.25" x14ac:dyDescent="0.2">
      <c r="A408" s="128"/>
      <c r="AR408"/>
    </row>
    <row r="409" spans="1:44" ht="14.25" x14ac:dyDescent="0.2">
      <c r="A409" s="128"/>
      <c r="AR409"/>
    </row>
    <row r="410" spans="1:44" ht="14.25" x14ac:dyDescent="0.2">
      <c r="A410" s="128"/>
      <c r="AR410"/>
    </row>
    <row r="411" spans="1:44" ht="14.25" x14ac:dyDescent="0.2">
      <c r="A411" s="128"/>
      <c r="AR411"/>
    </row>
    <row r="412" spans="1:44" ht="14.25" x14ac:dyDescent="0.2">
      <c r="A412" s="128"/>
      <c r="AR412"/>
    </row>
    <row r="413" spans="1:44" ht="14.25" x14ac:dyDescent="0.2">
      <c r="A413" s="128"/>
      <c r="AR413"/>
    </row>
    <row r="414" spans="1:44" ht="14.25" x14ac:dyDescent="0.2">
      <c r="A414" s="128"/>
      <c r="AR414"/>
    </row>
    <row r="415" spans="1:44" ht="14.25" x14ac:dyDescent="0.2">
      <c r="A415" s="128"/>
      <c r="AR415"/>
    </row>
    <row r="416" spans="1:44" ht="14.25" x14ac:dyDescent="0.2">
      <c r="A416" s="128"/>
      <c r="AR416"/>
    </row>
    <row r="417" spans="1:44" ht="14.25" x14ac:dyDescent="0.2">
      <c r="A417" s="128"/>
      <c r="AR417"/>
    </row>
    <row r="418" spans="1:44" ht="14.25" x14ac:dyDescent="0.2">
      <c r="A418" s="128"/>
      <c r="AR418"/>
    </row>
    <row r="419" spans="1:44" ht="14.25" x14ac:dyDescent="0.2">
      <c r="A419" s="128"/>
      <c r="AR419"/>
    </row>
    <row r="420" spans="1:44" ht="14.25" x14ac:dyDescent="0.2">
      <c r="A420" s="128"/>
      <c r="AR420"/>
    </row>
    <row r="421" spans="1:44" ht="14.25" x14ac:dyDescent="0.2">
      <c r="A421" s="128"/>
      <c r="AR421"/>
    </row>
    <row r="422" spans="1:44" ht="14.25" x14ac:dyDescent="0.2">
      <c r="A422" s="128"/>
      <c r="AR422"/>
    </row>
    <row r="423" spans="1:44" ht="14.25" x14ac:dyDescent="0.2">
      <c r="A423" s="128"/>
      <c r="AR423"/>
    </row>
    <row r="424" spans="1:44" ht="14.25" x14ac:dyDescent="0.2">
      <c r="A424" s="128"/>
      <c r="AR424"/>
    </row>
    <row r="425" spans="1:44" ht="14.25" x14ac:dyDescent="0.2">
      <c r="A425" s="128"/>
      <c r="AR425"/>
    </row>
    <row r="426" spans="1:44" ht="14.25" x14ac:dyDescent="0.2">
      <c r="A426" s="128"/>
      <c r="AR426"/>
    </row>
    <row r="427" spans="1:44" ht="14.25" x14ac:dyDescent="0.2">
      <c r="A427" s="128"/>
      <c r="AR427"/>
    </row>
    <row r="428" spans="1:44" ht="14.25" x14ac:dyDescent="0.2">
      <c r="A428" s="128"/>
      <c r="AR428"/>
    </row>
    <row r="429" spans="1:44" ht="14.25" x14ac:dyDescent="0.2">
      <c r="A429" s="128"/>
      <c r="AR429"/>
    </row>
    <row r="430" spans="1:44" ht="14.25" x14ac:dyDescent="0.2">
      <c r="A430" s="128"/>
      <c r="AR430"/>
    </row>
    <row r="431" spans="1:44" ht="14.25" x14ac:dyDescent="0.2">
      <c r="A431" s="128"/>
      <c r="AR431"/>
    </row>
    <row r="432" spans="1:44" ht="14.25" x14ac:dyDescent="0.2">
      <c r="A432" s="128"/>
      <c r="AR432"/>
    </row>
    <row r="433" spans="1:44" ht="14.25" x14ac:dyDescent="0.2">
      <c r="A433" s="128"/>
      <c r="AR433"/>
    </row>
    <row r="434" spans="1:44" ht="14.25" x14ac:dyDescent="0.2">
      <c r="A434" s="128"/>
      <c r="AR434"/>
    </row>
    <row r="435" spans="1:44" ht="14.25" x14ac:dyDescent="0.2">
      <c r="A435" s="128"/>
      <c r="AR435"/>
    </row>
    <row r="436" spans="1:44" ht="14.25" x14ac:dyDescent="0.2">
      <c r="A436" s="128"/>
      <c r="AR436"/>
    </row>
    <row r="437" spans="1:44" ht="14.25" x14ac:dyDescent="0.2">
      <c r="A437" s="128"/>
      <c r="AR437"/>
    </row>
    <row r="438" spans="1:44" ht="14.25" x14ac:dyDescent="0.2">
      <c r="A438" s="128"/>
      <c r="AR438"/>
    </row>
    <row r="439" spans="1:44" ht="14.25" x14ac:dyDescent="0.2">
      <c r="A439" s="128"/>
      <c r="AR439"/>
    </row>
    <row r="440" spans="1:44" ht="14.25" x14ac:dyDescent="0.2">
      <c r="A440" s="128"/>
      <c r="AR440"/>
    </row>
    <row r="441" spans="1:44" ht="14.25" x14ac:dyDescent="0.2">
      <c r="A441" s="128"/>
      <c r="AR441"/>
    </row>
    <row r="442" spans="1:44" ht="14.25" x14ac:dyDescent="0.2">
      <c r="A442" s="128"/>
      <c r="AR442"/>
    </row>
    <row r="443" spans="1:44" ht="14.25" x14ac:dyDescent="0.2">
      <c r="A443" s="128"/>
      <c r="AR443"/>
    </row>
    <row r="444" spans="1:44" ht="14.25" x14ac:dyDescent="0.2">
      <c r="A444" s="128"/>
      <c r="AR444"/>
    </row>
    <row r="445" spans="1:44" ht="14.25" x14ac:dyDescent="0.2">
      <c r="A445" s="128"/>
      <c r="AR445"/>
    </row>
    <row r="446" spans="1:44" ht="14.25" x14ac:dyDescent="0.2">
      <c r="A446" s="128"/>
      <c r="AR446"/>
    </row>
    <row r="447" spans="1:44" ht="14.25" x14ac:dyDescent="0.2">
      <c r="A447" s="128"/>
      <c r="AR447"/>
    </row>
    <row r="448" spans="1:44" ht="14.25" x14ac:dyDescent="0.2">
      <c r="A448" s="128"/>
      <c r="AR448"/>
    </row>
    <row r="449" spans="1:44" ht="14.25" x14ac:dyDescent="0.2">
      <c r="A449" s="128"/>
      <c r="AR449"/>
    </row>
    <row r="450" spans="1:44" ht="14.25" x14ac:dyDescent="0.2">
      <c r="A450" s="128"/>
      <c r="AR450"/>
    </row>
    <row r="451" spans="1:44" ht="14.25" x14ac:dyDescent="0.2">
      <c r="A451" s="128"/>
      <c r="AR451"/>
    </row>
    <row r="452" spans="1:44" ht="14.25" x14ac:dyDescent="0.2">
      <c r="A452" s="128"/>
      <c r="AR452"/>
    </row>
    <row r="453" spans="1:44" ht="14.25" x14ac:dyDescent="0.2">
      <c r="A453" s="128"/>
      <c r="AR453"/>
    </row>
    <row r="454" spans="1:44" ht="14.25" x14ac:dyDescent="0.2">
      <c r="A454" s="128"/>
      <c r="AR454"/>
    </row>
    <row r="455" spans="1:44" ht="14.25" x14ac:dyDescent="0.2">
      <c r="A455" s="128"/>
      <c r="AR455"/>
    </row>
    <row r="456" spans="1:44" ht="14.25" x14ac:dyDescent="0.2">
      <c r="A456" s="128"/>
      <c r="AR456"/>
    </row>
    <row r="457" spans="1:44" ht="14.25" x14ac:dyDescent="0.2">
      <c r="A457" s="128"/>
      <c r="AR457"/>
    </row>
    <row r="458" spans="1:44" ht="14.25" x14ac:dyDescent="0.2">
      <c r="A458" s="128"/>
      <c r="AR458"/>
    </row>
    <row r="459" spans="1:44" ht="14.25" x14ac:dyDescent="0.2">
      <c r="A459" s="128"/>
      <c r="AR459"/>
    </row>
    <row r="460" spans="1:44" ht="14.25" x14ac:dyDescent="0.2">
      <c r="A460" s="128"/>
      <c r="AR460"/>
    </row>
    <row r="461" spans="1:44" ht="14.25" x14ac:dyDescent="0.2">
      <c r="A461" s="128"/>
      <c r="AR461"/>
    </row>
    <row r="462" spans="1:44" ht="14.25" x14ac:dyDescent="0.2">
      <c r="A462" s="128"/>
      <c r="AR462"/>
    </row>
    <row r="463" spans="1:44" ht="14.25" x14ac:dyDescent="0.2">
      <c r="A463" s="128"/>
      <c r="AR463"/>
    </row>
    <row r="464" spans="1:44" ht="14.25" x14ac:dyDescent="0.2">
      <c r="A464" s="128"/>
      <c r="AR464"/>
    </row>
    <row r="465" spans="1:44" ht="14.25" x14ac:dyDescent="0.2">
      <c r="A465" s="128"/>
      <c r="AR465"/>
    </row>
    <row r="466" spans="1:44" ht="14.25" x14ac:dyDescent="0.2">
      <c r="A466" s="128"/>
      <c r="AR466"/>
    </row>
    <row r="467" spans="1:44" ht="14.25" x14ac:dyDescent="0.2">
      <c r="A467" s="128"/>
      <c r="AR467"/>
    </row>
    <row r="468" spans="1:44" ht="14.25" x14ac:dyDescent="0.2">
      <c r="A468" s="128"/>
      <c r="AR468"/>
    </row>
    <row r="469" spans="1:44" ht="14.25" x14ac:dyDescent="0.2">
      <c r="A469" s="128"/>
      <c r="AR469"/>
    </row>
    <row r="470" spans="1:44" ht="14.25" x14ac:dyDescent="0.2">
      <c r="A470" s="128"/>
      <c r="AR470"/>
    </row>
    <row r="471" spans="1:44" ht="14.25" x14ac:dyDescent="0.2">
      <c r="A471" s="128"/>
      <c r="AR471"/>
    </row>
    <row r="472" spans="1:44" ht="14.25" x14ac:dyDescent="0.2">
      <c r="A472" s="128"/>
      <c r="AR472"/>
    </row>
    <row r="473" spans="1:44" ht="14.25" x14ac:dyDescent="0.2">
      <c r="A473" s="128"/>
      <c r="AR473"/>
    </row>
    <row r="474" spans="1:44" ht="14.25" x14ac:dyDescent="0.2">
      <c r="A474" s="128"/>
      <c r="AR474"/>
    </row>
    <row r="475" spans="1:44" ht="14.25" x14ac:dyDescent="0.2">
      <c r="A475" s="128"/>
      <c r="AR475"/>
    </row>
    <row r="476" spans="1:44" ht="14.25" x14ac:dyDescent="0.2">
      <c r="A476" s="128"/>
      <c r="AR476"/>
    </row>
    <row r="477" spans="1:44" ht="14.25" x14ac:dyDescent="0.2">
      <c r="A477" s="128"/>
      <c r="AR477"/>
    </row>
    <row r="478" spans="1:44" ht="14.25" x14ac:dyDescent="0.2">
      <c r="A478" s="128"/>
      <c r="AR478"/>
    </row>
    <row r="479" spans="1:44" ht="14.25" x14ac:dyDescent="0.2">
      <c r="A479" s="128"/>
      <c r="AR479"/>
    </row>
    <row r="480" spans="1:44" ht="14.25" x14ac:dyDescent="0.2">
      <c r="A480" s="128"/>
      <c r="AR480"/>
    </row>
    <row r="481" spans="1:44" ht="14.25" x14ac:dyDescent="0.2">
      <c r="A481" s="128"/>
      <c r="AR481"/>
    </row>
    <row r="482" spans="1:44" ht="14.25" x14ac:dyDescent="0.2">
      <c r="A482" s="128"/>
      <c r="AR482"/>
    </row>
    <row r="483" spans="1:44" ht="14.25" x14ac:dyDescent="0.2">
      <c r="A483" s="128"/>
      <c r="AR483"/>
    </row>
    <row r="484" spans="1:44" ht="14.25" x14ac:dyDescent="0.2">
      <c r="A484" s="128"/>
      <c r="AR484"/>
    </row>
    <row r="485" spans="1:44" ht="14.25" x14ac:dyDescent="0.2">
      <c r="A485" s="128"/>
      <c r="AR485"/>
    </row>
    <row r="486" spans="1:44" ht="14.25" x14ac:dyDescent="0.2">
      <c r="A486" s="128"/>
      <c r="AR486"/>
    </row>
    <row r="487" spans="1:44" ht="14.25" x14ac:dyDescent="0.2">
      <c r="A487" s="128"/>
      <c r="AR487"/>
    </row>
    <row r="488" spans="1:44" ht="14.25" x14ac:dyDescent="0.2">
      <c r="A488" s="128"/>
      <c r="AR488"/>
    </row>
    <row r="489" spans="1:44" ht="14.25" x14ac:dyDescent="0.2">
      <c r="A489" s="128"/>
      <c r="AR489"/>
    </row>
    <row r="490" spans="1:44" ht="14.25" x14ac:dyDescent="0.2">
      <c r="A490" s="128"/>
      <c r="AR490"/>
    </row>
    <row r="491" spans="1:44" ht="14.25" x14ac:dyDescent="0.2">
      <c r="A491" s="128"/>
      <c r="AR491"/>
    </row>
    <row r="492" spans="1:44" ht="14.25" x14ac:dyDescent="0.2">
      <c r="A492" s="128"/>
      <c r="AR492"/>
    </row>
    <row r="493" spans="1:44" ht="14.25" x14ac:dyDescent="0.2">
      <c r="A493" s="128"/>
      <c r="AR493"/>
    </row>
    <row r="494" spans="1:44" ht="14.25" x14ac:dyDescent="0.2">
      <c r="A494" s="128"/>
      <c r="AR494"/>
    </row>
    <row r="495" spans="1:44" ht="14.25" x14ac:dyDescent="0.2">
      <c r="A495" s="128"/>
      <c r="AR495"/>
    </row>
    <row r="496" spans="1:44" ht="14.25" x14ac:dyDescent="0.2">
      <c r="A496" s="128"/>
      <c r="AR496"/>
    </row>
    <row r="497" spans="1:44" ht="14.25" x14ac:dyDescent="0.2">
      <c r="A497" s="128"/>
      <c r="AR497"/>
    </row>
    <row r="498" spans="1:44" ht="14.25" x14ac:dyDescent="0.2">
      <c r="A498" s="128"/>
      <c r="AR498"/>
    </row>
    <row r="499" spans="1:44" ht="14.25" x14ac:dyDescent="0.2">
      <c r="A499" s="128"/>
      <c r="AR499"/>
    </row>
    <row r="500" spans="1:44" ht="14.25" x14ac:dyDescent="0.2">
      <c r="A500" s="128"/>
      <c r="AR500"/>
    </row>
    <row r="501" spans="1:44" ht="14.25" x14ac:dyDescent="0.2">
      <c r="A501" s="128"/>
      <c r="AR501"/>
    </row>
    <row r="502" spans="1:44" ht="14.25" x14ac:dyDescent="0.2">
      <c r="A502" s="128"/>
      <c r="AR502"/>
    </row>
    <row r="503" spans="1:44" ht="14.25" x14ac:dyDescent="0.2">
      <c r="A503" s="128"/>
      <c r="AR503"/>
    </row>
    <row r="504" spans="1:44" ht="14.25" x14ac:dyDescent="0.2">
      <c r="A504" s="128"/>
      <c r="AR504"/>
    </row>
    <row r="505" spans="1:44" ht="14.25" x14ac:dyDescent="0.2">
      <c r="A505" s="128"/>
      <c r="AR505"/>
    </row>
    <row r="506" spans="1:44" ht="14.25" x14ac:dyDescent="0.2">
      <c r="A506" s="128"/>
      <c r="AR506"/>
    </row>
    <row r="507" spans="1:44" ht="14.25" x14ac:dyDescent="0.2">
      <c r="A507" s="128"/>
      <c r="AR507"/>
    </row>
    <row r="508" spans="1:44" ht="14.25" x14ac:dyDescent="0.2">
      <c r="A508" s="128"/>
      <c r="AR508"/>
    </row>
    <row r="509" spans="1:44" ht="14.25" x14ac:dyDescent="0.2">
      <c r="A509" s="128"/>
      <c r="AR509"/>
    </row>
    <row r="510" spans="1:44" ht="14.25" x14ac:dyDescent="0.2">
      <c r="A510" s="128"/>
      <c r="AR510"/>
    </row>
    <row r="511" spans="1:44" ht="14.25" x14ac:dyDescent="0.2">
      <c r="A511" s="128"/>
      <c r="AR511"/>
    </row>
    <row r="512" spans="1:44" ht="14.25" x14ac:dyDescent="0.2">
      <c r="A512" s="128"/>
      <c r="AR512"/>
    </row>
    <row r="513" spans="1:44" ht="14.25" x14ac:dyDescent="0.2">
      <c r="A513" s="128"/>
      <c r="AR513"/>
    </row>
    <row r="514" spans="1:44" ht="14.25" x14ac:dyDescent="0.2">
      <c r="A514" s="128"/>
      <c r="AR514"/>
    </row>
    <row r="515" spans="1:44" ht="14.25" x14ac:dyDescent="0.2">
      <c r="A515" s="128"/>
      <c r="AR515"/>
    </row>
    <row r="516" spans="1:44" ht="14.25" x14ac:dyDescent="0.2">
      <c r="A516" s="128"/>
      <c r="AR516"/>
    </row>
    <row r="517" spans="1:44" ht="14.25" x14ac:dyDescent="0.2">
      <c r="A517" s="128"/>
      <c r="AR517"/>
    </row>
    <row r="518" spans="1:44" ht="14.25" x14ac:dyDescent="0.2">
      <c r="A518" s="128"/>
      <c r="AR518"/>
    </row>
    <row r="519" spans="1:44" ht="14.25" x14ac:dyDescent="0.2">
      <c r="A519" s="128"/>
      <c r="AR519"/>
    </row>
    <row r="520" spans="1:44" ht="14.25" x14ac:dyDescent="0.2">
      <c r="A520" s="128"/>
      <c r="AR520"/>
    </row>
    <row r="521" spans="1:44" ht="14.25" x14ac:dyDescent="0.2">
      <c r="A521" s="128"/>
      <c r="AR521"/>
    </row>
    <row r="522" spans="1:44" ht="14.25" x14ac:dyDescent="0.2">
      <c r="A522" s="128"/>
      <c r="AR522"/>
    </row>
    <row r="523" spans="1:44" ht="14.25" x14ac:dyDescent="0.2">
      <c r="A523" s="128"/>
      <c r="AR523"/>
    </row>
    <row r="524" spans="1:44" ht="14.25" x14ac:dyDescent="0.2">
      <c r="A524" s="128"/>
      <c r="AR524"/>
    </row>
    <row r="525" spans="1:44" ht="14.25" x14ac:dyDescent="0.2">
      <c r="A525" s="128"/>
      <c r="AR525"/>
    </row>
    <row r="526" spans="1:44" ht="14.25" x14ac:dyDescent="0.2">
      <c r="A526" s="128"/>
      <c r="AR526"/>
    </row>
    <row r="527" spans="1:44" ht="14.25" x14ac:dyDescent="0.2">
      <c r="A527" s="128"/>
      <c r="AR527"/>
    </row>
    <row r="528" spans="1:44" ht="14.25" x14ac:dyDescent="0.2">
      <c r="A528" s="128"/>
      <c r="AR528"/>
    </row>
    <row r="529" spans="1:44" ht="14.25" x14ac:dyDescent="0.2">
      <c r="A529" s="128"/>
      <c r="AR529"/>
    </row>
    <row r="530" spans="1:44" ht="14.25" x14ac:dyDescent="0.2">
      <c r="A530" s="128"/>
      <c r="AR530"/>
    </row>
    <row r="531" spans="1:44" ht="14.25" x14ac:dyDescent="0.2">
      <c r="A531" s="128"/>
      <c r="AR531"/>
    </row>
    <row r="532" spans="1:44" ht="14.25" x14ac:dyDescent="0.2">
      <c r="A532" s="128"/>
      <c r="AR532"/>
    </row>
    <row r="533" spans="1:44" ht="14.25" x14ac:dyDescent="0.2">
      <c r="A533" s="128"/>
      <c r="AR533"/>
    </row>
    <row r="534" spans="1:44" ht="14.25" x14ac:dyDescent="0.2">
      <c r="A534" s="128"/>
      <c r="AR534"/>
    </row>
    <row r="535" spans="1:44" ht="14.25" x14ac:dyDescent="0.2">
      <c r="A535" s="128"/>
      <c r="AR535"/>
    </row>
    <row r="536" spans="1:44" ht="14.25" x14ac:dyDescent="0.2">
      <c r="A536" s="128"/>
      <c r="AR536"/>
    </row>
    <row r="537" spans="1:44" ht="14.25" x14ac:dyDescent="0.2">
      <c r="A537" s="128"/>
      <c r="AR537"/>
    </row>
    <row r="538" spans="1:44" ht="14.25" x14ac:dyDescent="0.2">
      <c r="A538" s="128"/>
      <c r="AR538"/>
    </row>
    <row r="539" spans="1:44" ht="14.25" x14ac:dyDescent="0.2">
      <c r="A539" s="128"/>
      <c r="AR539"/>
    </row>
    <row r="540" spans="1:44" ht="14.25" x14ac:dyDescent="0.2">
      <c r="A540" s="128"/>
      <c r="AR540"/>
    </row>
    <row r="541" spans="1:44" ht="14.25" x14ac:dyDescent="0.2">
      <c r="A541" s="128"/>
      <c r="AR541"/>
    </row>
    <row r="542" spans="1:44" ht="14.25" x14ac:dyDescent="0.2">
      <c r="A542" s="128"/>
      <c r="AR542"/>
    </row>
    <row r="543" spans="1:44" ht="14.25" x14ac:dyDescent="0.2">
      <c r="A543" s="128"/>
      <c r="AR543"/>
    </row>
    <row r="544" spans="1:44" ht="14.25" x14ac:dyDescent="0.2">
      <c r="A544" s="128"/>
      <c r="AR544"/>
    </row>
    <row r="545" spans="1:44" ht="14.25" x14ac:dyDescent="0.2">
      <c r="A545" s="128"/>
      <c r="AR545"/>
    </row>
    <row r="546" spans="1:44" ht="14.25" x14ac:dyDescent="0.2">
      <c r="A546" s="128"/>
      <c r="AR546"/>
    </row>
    <row r="547" spans="1:44" ht="14.25" x14ac:dyDescent="0.2">
      <c r="A547" s="128"/>
      <c r="AR547"/>
    </row>
    <row r="548" spans="1:44" ht="14.25" x14ac:dyDescent="0.2">
      <c r="A548" s="128"/>
      <c r="AR548"/>
    </row>
    <row r="549" spans="1:44" ht="14.25" x14ac:dyDescent="0.2">
      <c r="A549" s="128"/>
      <c r="AR549"/>
    </row>
    <row r="550" spans="1:44" ht="14.25" x14ac:dyDescent="0.2">
      <c r="A550" s="128"/>
      <c r="AR550"/>
    </row>
    <row r="551" spans="1:44" ht="14.25" x14ac:dyDescent="0.2">
      <c r="A551" s="128"/>
      <c r="AR551"/>
    </row>
    <row r="552" spans="1:44" ht="14.25" x14ac:dyDescent="0.2">
      <c r="A552" s="128"/>
      <c r="AR552"/>
    </row>
    <row r="553" spans="1:44" ht="14.25" x14ac:dyDescent="0.2">
      <c r="A553" s="128"/>
      <c r="AR553"/>
    </row>
    <row r="554" spans="1:44" ht="14.25" x14ac:dyDescent="0.2">
      <c r="A554" s="128"/>
      <c r="AR554"/>
    </row>
    <row r="555" spans="1:44" ht="14.25" x14ac:dyDescent="0.2">
      <c r="A555" s="128"/>
      <c r="AR555"/>
    </row>
    <row r="556" spans="1:44" ht="14.25" x14ac:dyDescent="0.2">
      <c r="A556" s="128"/>
      <c r="AR556"/>
    </row>
    <row r="557" spans="1:44" ht="14.25" x14ac:dyDescent="0.2">
      <c r="A557" s="128"/>
      <c r="AR557"/>
    </row>
    <row r="558" spans="1:44" ht="14.25" x14ac:dyDescent="0.2">
      <c r="A558" s="128"/>
      <c r="AR558"/>
    </row>
    <row r="559" spans="1:44" ht="14.25" x14ac:dyDescent="0.2">
      <c r="A559" s="128"/>
      <c r="AR559"/>
    </row>
    <row r="560" spans="1:44" ht="14.25" x14ac:dyDescent="0.2">
      <c r="A560" s="128"/>
      <c r="AR560"/>
    </row>
    <row r="561" spans="1:44" ht="14.25" x14ac:dyDescent="0.2">
      <c r="A561" s="128"/>
      <c r="AR561"/>
    </row>
    <row r="562" spans="1:44" ht="14.25" x14ac:dyDescent="0.2">
      <c r="A562" s="128"/>
      <c r="AR562"/>
    </row>
    <row r="563" spans="1:44" ht="14.25" x14ac:dyDescent="0.2">
      <c r="A563" s="128"/>
      <c r="AR563"/>
    </row>
    <row r="564" spans="1:44" ht="14.25" x14ac:dyDescent="0.2">
      <c r="A564" s="128"/>
      <c r="AR564"/>
    </row>
    <row r="565" spans="1:44" ht="14.25" x14ac:dyDescent="0.2">
      <c r="A565" s="128"/>
      <c r="AR565"/>
    </row>
    <row r="566" spans="1:44" ht="14.25" x14ac:dyDescent="0.2">
      <c r="A566" s="128"/>
      <c r="AR566"/>
    </row>
    <row r="567" spans="1:44" ht="14.25" x14ac:dyDescent="0.2">
      <c r="A567" s="128"/>
      <c r="AR567"/>
    </row>
    <row r="568" spans="1:44" ht="14.25" x14ac:dyDescent="0.2">
      <c r="A568" s="128"/>
      <c r="AR568"/>
    </row>
    <row r="569" spans="1:44" ht="14.25" x14ac:dyDescent="0.2">
      <c r="A569" s="128"/>
      <c r="AR569"/>
    </row>
    <row r="570" spans="1:44" ht="14.25" x14ac:dyDescent="0.2">
      <c r="A570" s="128"/>
      <c r="AR570"/>
    </row>
    <row r="571" spans="1:44" ht="14.25" x14ac:dyDescent="0.2">
      <c r="A571" s="128"/>
      <c r="AR571"/>
    </row>
    <row r="572" spans="1:44" ht="14.25" x14ac:dyDescent="0.2">
      <c r="A572" s="128"/>
      <c r="AR572"/>
    </row>
    <row r="573" spans="1:44" ht="14.25" x14ac:dyDescent="0.2">
      <c r="A573" s="128"/>
      <c r="AR573"/>
    </row>
    <row r="574" spans="1:44" ht="14.25" x14ac:dyDescent="0.2">
      <c r="A574" s="128"/>
      <c r="AR574"/>
    </row>
    <row r="575" spans="1:44" ht="14.25" x14ac:dyDescent="0.2">
      <c r="A575" s="128"/>
      <c r="AR575"/>
    </row>
    <row r="576" spans="1:44" ht="14.25" x14ac:dyDescent="0.2">
      <c r="A576" s="128"/>
      <c r="AR576"/>
    </row>
    <row r="577" spans="1:44" ht="14.25" x14ac:dyDescent="0.2">
      <c r="A577" s="128"/>
      <c r="AR577"/>
    </row>
    <row r="578" spans="1:44" ht="14.25" x14ac:dyDescent="0.2">
      <c r="A578" s="128"/>
      <c r="AR578"/>
    </row>
    <row r="579" spans="1:44" ht="14.25" x14ac:dyDescent="0.2">
      <c r="A579" s="128"/>
      <c r="AR579"/>
    </row>
    <row r="580" spans="1:44" ht="14.25" x14ac:dyDescent="0.2">
      <c r="A580" s="128"/>
      <c r="AR580"/>
    </row>
    <row r="581" spans="1:44" ht="14.25" x14ac:dyDescent="0.2">
      <c r="A581" s="128"/>
      <c r="AR581"/>
    </row>
    <row r="582" spans="1:44" ht="14.25" x14ac:dyDescent="0.2">
      <c r="A582" s="128"/>
      <c r="AR582"/>
    </row>
    <row r="583" spans="1:44" ht="14.25" x14ac:dyDescent="0.2">
      <c r="A583" s="128"/>
      <c r="AR583"/>
    </row>
    <row r="584" spans="1:44" ht="14.25" x14ac:dyDescent="0.2">
      <c r="A584" s="128"/>
      <c r="AR584"/>
    </row>
    <row r="585" spans="1:44" ht="14.25" x14ac:dyDescent="0.2">
      <c r="A585" s="128"/>
      <c r="AR585"/>
    </row>
    <row r="586" spans="1:44" ht="14.25" x14ac:dyDescent="0.2">
      <c r="A586" s="128"/>
      <c r="AR586"/>
    </row>
    <row r="587" spans="1:44" ht="14.25" x14ac:dyDescent="0.2">
      <c r="A587" s="128"/>
      <c r="AR587"/>
    </row>
    <row r="588" spans="1:44" ht="14.25" x14ac:dyDescent="0.2">
      <c r="A588" s="128"/>
      <c r="AR588"/>
    </row>
    <row r="589" spans="1:44" ht="14.25" x14ac:dyDescent="0.2">
      <c r="A589" s="128"/>
      <c r="AR589"/>
    </row>
    <row r="590" spans="1:44" ht="14.25" x14ac:dyDescent="0.2">
      <c r="A590" s="128"/>
      <c r="AR590"/>
    </row>
    <row r="591" spans="1:44" ht="14.25" x14ac:dyDescent="0.2">
      <c r="A591" s="128"/>
      <c r="AR591"/>
    </row>
    <row r="592" spans="1:44" ht="14.25" x14ac:dyDescent="0.2">
      <c r="A592" s="128"/>
      <c r="AR592"/>
    </row>
    <row r="593" spans="1:44" ht="14.25" x14ac:dyDescent="0.2">
      <c r="A593" s="128"/>
      <c r="AR593"/>
    </row>
    <row r="594" spans="1:44" ht="14.25" x14ac:dyDescent="0.2">
      <c r="A594" s="128"/>
      <c r="AR594"/>
    </row>
    <row r="595" spans="1:44" ht="14.25" x14ac:dyDescent="0.2">
      <c r="A595" s="128"/>
      <c r="AR595"/>
    </row>
    <row r="596" spans="1:44" ht="14.25" x14ac:dyDescent="0.2">
      <c r="A596" s="128"/>
      <c r="AR596"/>
    </row>
    <row r="597" spans="1:44" ht="14.25" x14ac:dyDescent="0.2">
      <c r="A597" s="128"/>
      <c r="AR597"/>
    </row>
    <row r="598" spans="1:44" ht="14.25" x14ac:dyDescent="0.2">
      <c r="A598" s="128"/>
      <c r="AR598"/>
    </row>
    <row r="599" spans="1:44" ht="14.25" x14ac:dyDescent="0.2">
      <c r="A599" s="128"/>
      <c r="AR599"/>
    </row>
    <row r="600" spans="1:44" ht="14.25" x14ac:dyDescent="0.2">
      <c r="A600" s="128"/>
      <c r="AR600"/>
    </row>
    <row r="601" spans="1:44" ht="14.25" x14ac:dyDescent="0.2">
      <c r="A601" s="128"/>
      <c r="AR601"/>
    </row>
    <row r="602" spans="1:44" ht="14.25" x14ac:dyDescent="0.2">
      <c r="A602" s="128"/>
      <c r="AR602"/>
    </row>
    <row r="603" spans="1:44" ht="14.25" x14ac:dyDescent="0.2">
      <c r="A603" s="128"/>
      <c r="AR603"/>
    </row>
    <row r="604" spans="1:44" ht="14.25" x14ac:dyDescent="0.2">
      <c r="A604" s="128"/>
      <c r="AR604"/>
    </row>
    <row r="605" spans="1:44" ht="14.25" x14ac:dyDescent="0.2">
      <c r="A605" s="128"/>
      <c r="AR605"/>
    </row>
    <row r="606" spans="1:44" ht="14.25" x14ac:dyDescent="0.2">
      <c r="A606" s="128"/>
      <c r="AR606"/>
    </row>
    <row r="607" spans="1:44" ht="14.25" x14ac:dyDescent="0.2">
      <c r="A607" s="128"/>
      <c r="AR607"/>
    </row>
    <row r="608" spans="1:44" ht="14.25" x14ac:dyDescent="0.2">
      <c r="A608" s="128"/>
      <c r="AR608"/>
    </row>
    <row r="609" spans="1:44" ht="14.25" x14ac:dyDescent="0.2">
      <c r="A609" s="128"/>
      <c r="AR609"/>
    </row>
    <row r="610" spans="1:44" ht="14.25" x14ac:dyDescent="0.2">
      <c r="A610" s="128"/>
      <c r="AR610"/>
    </row>
    <row r="611" spans="1:44" ht="14.25" x14ac:dyDescent="0.2">
      <c r="A611" s="128"/>
      <c r="AR611"/>
    </row>
    <row r="612" spans="1:44" ht="14.25" x14ac:dyDescent="0.2">
      <c r="A612" s="128"/>
      <c r="AR612"/>
    </row>
    <row r="613" spans="1:44" ht="14.25" x14ac:dyDescent="0.2">
      <c r="A613" s="128"/>
      <c r="AR613"/>
    </row>
    <row r="614" spans="1:44" ht="14.25" x14ac:dyDescent="0.2">
      <c r="A614" s="128"/>
      <c r="AR614"/>
    </row>
    <row r="615" spans="1:44" ht="14.25" x14ac:dyDescent="0.2">
      <c r="A615" s="128"/>
      <c r="AR615"/>
    </row>
    <row r="616" spans="1:44" ht="14.25" x14ac:dyDescent="0.2">
      <c r="A616" s="128"/>
      <c r="AR616"/>
    </row>
    <row r="617" spans="1:44" ht="14.25" x14ac:dyDescent="0.2">
      <c r="A617" s="128"/>
      <c r="AR617"/>
    </row>
    <row r="618" spans="1:44" ht="14.25" x14ac:dyDescent="0.2">
      <c r="A618" s="128"/>
      <c r="AR618"/>
    </row>
    <row r="619" spans="1:44" ht="14.25" x14ac:dyDescent="0.2">
      <c r="A619" s="128"/>
      <c r="AR619"/>
    </row>
    <row r="620" spans="1:44" ht="14.25" x14ac:dyDescent="0.2">
      <c r="A620" s="128"/>
      <c r="AR620"/>
    </row>
    <row r="621" spans="1:44" ht="14.25" x14ac:dyDescent="0.2">
      <c r="A621" s="128"/>
      <c r="AR621"/>
    </row>
  </sheetData>
  <sheetProtection selectLockedCells="1"/>
  <mergeCells count="3">
    <mergeCell ref="Y1:AF1"/>
    <mergeCell ref="A2:X2"/>
    <mergeCell ref="A1:X1"/>
  </mergeCells>
  <hyperlinks>
    <hyperlink ref="S50" location="'Photos of Rosettes'!A1" display="APPEARS TO BE SAME AS C-7" xr:uid="{FE493E4D-5873-4E4A-A3D3-3AE46C08F874}"/>
    <hyperlink ref="S4" location="STATS!A1" display="GO TO STATS SHEET" xr:uid="{09FAF782-9DDD-4F7E-BDC1-9A8DF2BC7ABD}"/>
    <hyperlink ref="R4" location="STATS!A1" display="GO TO STATS SHEET" xr:uid="{486D90E2-D616-4C2A-AA8A-EE94FFFB9689}"/>
    <hyperlink ref="Q4" location="STATS!A1" display="GO TO STATS SHEET" xr:uid="{E1A85DF6-BEEA-4EE2-BC18-2154A82C9BC4}"/>
    <hyperlink ref="P4" location="STATS!A1" display="GO TO STATS SHEET" xr:uid="{DE0B2847-49DB-4E51-BA50-C23DBA08D7BC}"/>
    <hyperlink ref="O4" location="STATS!A1" display="GO TO STATS SHEET" xr:uid="{5B17EF08-EE15-4BBC-A124-62D167347215}"/>
    <hyperlink ref="N4" location="STATS!A1" display="GO TO STATS SHEET" xr:uid="{D8CC1DA0-570B-485A-A4EB-87716B6A7290}"/>
    <hyperlink ref="M4" location="STATS!A1" display="GO TO STATS SHEET" xr:uid="{9D8FDF64-4B85-44F4-AFFA-C3D3009FBDE0}"/>
    <hyperlink ref="L4" location="STATS!A1" display="GO TO STATS SHEET" xr:uid="{DC80E5AB-7623-4B4D-B014-1D8A5E61E9AC}"/>
    <hyperlink ref="K4" location="STATS!A1" display="GO TO STATS SHEET" xr:uid="{A3D0BB7C-67E7-410D-8B9E-A8B713E37A3E}"/>
    <hyperlink ref="J4" location="STATS!A1" display="GO TO STATS SHEET" xr:uid="{1CB8C7AB-14E4-43C1-9DE9-E06761477810}"/>
    <hyperlink ref="I4" location="STATS!A1" display="GO TO STATS SHEET" xr:uid="{45DEF446-15BE-4540-83C2-327E304DFA5F}"/>
    <hyperlink ref="H4" location="STATS!A1" display="GO TO STATS SHEET" xr:uid="{87B5CDAD-CEE2-47EC-9D84-8BB4CE212C59}"/>
    <hyperlink ref="G4" location="STATS!A1" display="GO TO STATS SHEET" xr:uid="{0DB1D760-53E7-4E2F-AAD2-2DD1E478BA86}"/>
    <hyperlink ref="F4" location="STATS!A1" display="GO TO STATS SHEET" xr:uid="{C0A2967A-36DC-4919-93ED-169924F9AB2E}"/>
    <hyperlink ref="E4" location="STATS!A1" display="GO TO STATS SHEET" xr:uid="{8A3734F0-D3EB-4B44-BC17-B7936C214BBB}"/>
    <hyperlink ref="D4" location="STATS!A1" display="GO TO STATS SHEET" xr:uid="{3F2214A6-6C9A-4B14-8E60-ED72A6D79544}"/>
    <hyperlink ref="B4" location="STATS!A1" display="GO TO STATS SHEET" xr:uid="{36652FE7-0DBE-43D2-A9FB-B3AB8F1F5B9B}"/>
    <hyperlink ref="T50" location="'Photos of Rosettes'!A1" display="APPEARS TO BE SAME AS C-7" xr:uid="{9580BD31-8821-47C1-85D6-19F588CB66AB}"/>
    <hyperlink ref="T4" location="STATS!A1" display="GO TO STATS SHEET" xr:uid="{70FBE11B-70C4-4F3E-8B4E-7422D5207A41}"/>
    <hyperlink ref="V50" location="'Photos of Rosettes'!A1" display="APPEARS TO BE SAME AS C-7" xr:uid="{B2E5BD52-3163-4DE2-824B-3B65A8E143EA}"/>
    <hyperlink ref="V4" location="STATS!A1" display="GO TO STATS SHEET" xr:uid="{3ECFF125-81CF-4976-80D2-10A7243D4EC7}"/>
    <hyperlink ref="W50" location="'Photos of Rosettes'!A1" display="APPEARS TO BE SAME AS C-7" xr:uid="{19F7038E-BD0B-4999-A442-5A56F0D10F6B}"/>
    <hyperlink ref="W4" location="STATS!A1" display="GO TO STATS SHEET" xr:uid="{5CE0846D-AC16-40F9-9844-8FEE1CC7AED7}"/>
    <hyperlink ref="A4" location="STATS!A1" display="GO TO STATS SHEET" xr:uid="{3C8F02D6-CE50-475B-8D19-2D85F98E3D3F}"/>
    <hyperlink ref="X50" location="'Photos of Rosettes'!A1" display="APPEARS TO BE SAME AS C-7" xr:uid="{38965249-5469-42A3-965D-F4A6CD883974}"/>
    <hyperlink ref="X4" location="STATS!A1" display="GO TO STATS SHEET" xr:uid="{08BB800F-C77D-49DC-9DE9-510CF684D7DE}"/>
    <hyperlink ref="Y50" location="'Photos of Rosettes'!A1" display="APPEARS TO BE SAME AS C-7" xr:uid="{17F4A9BA-55CC-4DF2-81B9-0E2FCD49D2F3}"/>
    <hyperlink ref="Y4" location="STATS!A1" display="GO TO STATS SHEET" xr:uid="{DF45D666-3D55-457E-8E94-71702D668021}"/>
    <hyperlink ref="Z50" location="'Photos of Rosettes'!A1" display="APPEARS TO BE SAME AS C-7" xr:uid="{28154BCC-1813-42E2-9745-D4CCFA922184}"/>
    <hyperlink ref="Z4" location="STATS!A1" display="GO TO STATS SHEET" xr:uid="{DA91E5FB-CF15-40D4-B12C-4BC39C88C5B3}"/>
    <hyperlink ref="AA50" location="'Photos of Rosettes'!A1" display="APPEARS TO BE SAME AS C-7" xr:uid="{377EA757-52AF-4AB9-9CB1-ECEA1C0BCAED}"/>
    <hyperlink ref="AA4" location="STATS!A1" display="GO TO STATS SHEET" xr:uid="{233B7E61-1960-459B-A6FC-902D775349E7}"/>
    <hyperlink ref="AB50" location="'Photos of Rosettes'!A1" display="APPEARS TO BE SAME AS C-7" xr:uid="{AECB99E6-2B76-4A13-951B-349783BAD94F}"/>
    <hyperlink ref="AB4" location="STATS!A1" display="GO TO STATS SHEET" xr:uid="{617A974D-EF21-4E18-B33D-81F42BC29BCA}"/>
    <hyperlink ref="AC50" location="'Photos of Rosettes'!A1" display="APPEARS TO BE SAME AS C-7" xr:uid="{3E2E46C6-F970-45FB-A7E6-D78145E89F8D}"/>
    <hyperlink ref="AC4" location="STATS!A1" display="GO TO STATS SHEET" xr:uid="{B2A02558-CC24-48E8-A868-F45A5EA01FB7}"/>
    <hyperlink ref="AD50" location="'Photos of Rosettes'!A1" display="APPEARS TO BE SAME AS C-7" xr:uid="{EB3659F1-0B7D-4D38-AFD5-3786DCCC4A06}"/>
    <hyperlink ref="AD4" location="STATS!A1" display="GO TO STATS SHEET" xr:uid="{B81EB767-B6FF-479D-AC1A-4965E191525C}"/>
    <hyperlink ref="AE50" location="'Photos of Rosettes'!A1" display="APPEARS TO BE SAME AS C-7" xr:uid="{5E0B7B07-F49B-40FD-9081-DBE5E51114D2}"/>
    <hyperlink ref="AE4" location="STATS!A1" display="GO TO STATS SHEET" xr:uid="{E8ECC96E-C9AE-4A9E-B570-0A64528EF31C}"/>
    <hyperlink ref="U4" location="STATS!A1" display="GO TO STATS SHEET" xr:uid="{FD3C2AFF-D17F-49EE-BB4F-5A039D65D287}"/>
  </hyperlinks>
  <pageMargins left="0.7" right="0.7" top="0.75" bottom="0.75" header="0.3" footer="0.3"/>
  <pageSetup orientation="portrait" r:id="rId1"/>
  <drawing r:id="rId2"/>
  <legacyDrawing r:id="rId3"/>
  <oleObjects>
    <mc:AlternateContent xmlns:mc="http://schemas.openxmlformats.org/markup-compatibility/2006">
      <mc:Choice Requires="x14">
        <oleObject progId="Photoshop.Image.7" shapeId="4097" r:id="rId4">
          <objectPr defaultSize="0" autoPict="0" r:id="rId5">
            <anchor moveWithCells="1">
              <from>
                <xdr:col>19</xdr:col>
                <xdr:colOff>28575</xdr:colOff>
                <xdr:row>4</xdr:row>
                <xdr:rowOff>28575</xdr:rowOff>
              </from>
              <to>
                <xdr:col>19</xdr:col>
                <xdr:colOff>76200</xdr:colOff>
                <xdr:row>4</xdr:row>
                <xdr:rowOff>142875</xdr:rowOff>
              </to>
            </anchor>
          </objectPr>
        </oleObject>
      </mc:Choice>
      <mc:Fallback>
        <oleObject progId="Photoshop.Image.7" shapeId="4097" r:id="rId4"/>
      </mc:Fallback>
    </mc:AlternateContent>
    <mc:AlternateContent xmlns:mc="http://schemas.openxmlformats.org/markup-compatibility/2006">
      <mc:Choice Requires="x14">
        <oleObject progId="Photoshop.Image.7" shapeId="4098" r:id="rId6">
          <objectPr defaultSize="0" autoPict="0" r:id="rId7">
            <anchor moveWithCells="1">
              <from>
                <xdr:col>17</xdr:col>
                <xdr:colOff>19050</xdr:colOff>
                <xdr:row>4</xdr:row>
                <xdr:rowOff>19050</xdr:rowOff>
              </from>
              <to>
                <xdr:col>17</xdr:col>
                <xdr:colOff>66675</xdr:colOff>
                <xdr:row>4</xdr:row>
                <xdr:rowOff>142875</xdr:rowOff>
              </to>
            </anchor>
          </objectPr>
        </oleObject>
      </mc:Choice>
      <mc:Fallback>
        <oleObject progId="Photoshop.Image.7" shapeId="4098" r:id="rId6"/>
      </mc:Fallback>
    </mc:AlternateContent>
    <mc:AlternateContent xmlns:mc="http://schemas.openxmlformats.org/markup-compatibility/2006">
      <mc:Choice Requires="x14">
        <oleObject progId="Photoshop.Image.7" shapeId="4099" r:id="rId8">
          <objectPr defaultSize="0" autoPict="0" r:id="rId9">
            <anchor moveWithCells="1">
              <from>
                <xdr:col>23</xdr:col>
                <xdr:colOff>19050</xdr:colOff>
                <xdr:row>4</xdr:row>
                <xdr:rowOff>19050</xdr:rowOff>
              </from>
              <to>
                <xdr:col>23</xdr:col>
                <xdr:colOff>57150</xdr:colOff>
                <xdr:row>4</xdr:row>
                <xdr:rowOff>114300</xdr:rowOff>
              </to>
            </anchor>
          </objectPr>
        </oleObject>
      </mc:Choice>
      <mc:Fallback>
        <oleObject progId="Photoshop.Image.7" shapeId="4099" r:id="rId8"/>
      </mc:Fallback>
    </mc:AlternateContent>
  </oleObjec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BC3"/>
  <sheetViews>
    <sheetView workbookViewId="0">
      <pane ySplit="1" topLeftCell="A2" activePane="bottomLeft" state="frozenSplit"/>
      <selection activeCell="AZ1" sqref="AZ1"/>
      <selection pane="bottomLeft" activeCell="A2" sqref="A2"/>
    </sheetView>
  </sheetViews>
  <sheetFormatPr defaultRowHeight="12.75" x14ac:dyDescent="0.2"/>
  <cols>
    <col min="1" max="55" width="60.7109375" customWidth="1"/>
  </cols>
  <sheetData>
    <row r="1" spans="1:55" ht="26.25" thickBot="1" x14ac:dyDescent="0.25">
      <c r="A1" s="105" t="s">
        <v>192</v>
      </c>
      <c r="B1" s="105" t="s">
        <v>354</v>
      </c>
      <c r="C1" s="105" t="s">
        <v>341</v>
      </c>
      <c r="D1" s="105" t="s">
        <v>39</v>
      </c>
      <c r="E1" s="105" t="s">
        <v>376</v>
      </c>
      <c r="F1" s="105" t="s">
        <v>35</v>
      </c>
      <c r="G1" s="105" t="s">
        <v>193</v>
      </c>
      <c r="H1" s="105" t="s">
        <v>377</v>
      </c>
      <c r="I1" s="105" t="s">
        <v>37</v>
      </c>
      <c r="J1" s="105" t="s">
        <v>194</v>
      </c>
      <c r="K1" s="105" t="s">
        <v>38</v>
      </c>
      <c r="L1" s="105" t="s">
        <v>195</v>
      </c>
      <c r="M1" s="105" t="s">
        <v>269</v>
      </c>
      <c r="N1" s="105" t="s">
        <v>165</v>
      </c>
      <c r="O1" s="105" t="s">
        <v>367</v>
      </c>
      <c r="P1" s="105" t="s">
        <v>368</v>
      </c>
      <c r="Q1" s="105">
        <v>1000</v>
      </c>
      <c r="R1" s="105" t="s">
        <v>324</v>
      </c>
      <c r="S1" s="105" t="s">
        <v>357</v>
      </c>
      <c r="T1" s="105" t="s">
        <v>359</v>
      </c>
      <c r="U1" s="105" t="s">
        <v>358</v>
      </c>
      <c r="V1" s="105" t="s">
        <v>81</v>
      </c>
      <c r="W1" s="105" t="s">
        <v>275</v>
      </c>
      <c r="X1" s="105" t="s">
        <v>31</v>
      </c>
      <c r="Y1" s="105" t="s">
        <v>110</v>
      </c>
      <c r="Z1" s="105" t="s">
        <v>34</v>
      </c>
      <c r="AA1" s="105" t="s">
        <v>82</v>
      </c>
      <c r="AB1" s="105" t="s">
        <v>14</v>
      </c>
      <c r="AC1" s="105" t="s">
        <v>88</v>
      </c>
      <c r="AD1" s="105" t="s">
        <v>33</v>
      </c>
      <c r="AE1" s="105" t="s">
        <v>80</v>
      </c>
      <c r="AF1" s="105" t="s">
        <v>21</v>
      </c>
      <c r="AG1" s="105" t="s">
        <v>43</v>
      </c>
      <c r="AH1" s="105" t="s">
        <v>356</v>
      </c>
      <c r="AI1" s="105" t="s">
        <v>111</v>
      </c>
      <c r="AJ1" s="105" t="s">
        <v>11</v>
      </c>
      <c r="AK1" s="105" t="s">
        <v>274</v>
      </c>
      <c r="AL1" s="105" t="s">
        <v>196</v>
      </c>
      <c r="AM1" s="105" t="s">
        <v>67</v>
      </c>
      <c r="AN1" s="105" t="s">
        <v>5</v>
      </c>
      <c r="AO1" s="105" t="s">
        <v>162</v>
      </c>
      <c r="AP1" s="105" t="s">
        <v>18</v>
      </c>
      <c r="AQ1" s="105" t="s">
        <v>84</v>
      </c>
      <c r="AR1" s="105" t="s">
        <v>112</v>
      </c>
      <c r="AS1" s="105" t="s">
        <v>265</v>
      </c>
      <c r="AT1" s="105" t="s">
        <v>369</v>
      </c>
      <c r="AU1" s="105" t="s">
        <v>370</v>
      </c>
      <c r="AV1" s="105" t="s">
        <v>188</v>
      </c>
      <c r="AW1" s="105" t="s">
        <v>57</v>
      </c>
      <c r="AX1" s="105" t="s">
        <v>108</v>
      </c>
      <c r="AY1" s="105" t="s">
        <v>89</v>
      </c>
      <c r="AZ1" s="105" t="s">
        <v>22</v>
      </c>
      <c r="BA1" s="105" t="s">
        <v>113</v>
      </c>
      <c r="BB1" s="105" t="s">
        <v>30</v>
      </c>
      <c r="BC1" s="106" t="s">
        <v>273</v>
      </c>
    </row>
    <row r="2" spans="1:55" s="125" customFormat="1" ht="21" thickBot="1" x14ac:dyDescent="0.35">
      <c r="A2" s="258" t="s">
        <v>508</v>
      </c>
      <c r="B2" s="258" t="s">
        <v>508</v>
      </c>
      <c r="C2" s="258" t="s">
        <v>508</v>
      </c>
      <c r="D2" s="258" t="s">
        <v>508</v>
      </c>
      <c r="E2" s="258" t="s">
        <v>508</v>
      </c>
      <c r="F2" s="258" t="s">
        <v>508</v>
      </c>
      <c r="G2" s="258" t="s">
        <v>508</v>
      </c>
      <c r="H2" s="258" t="s">
        <v>508</v>
      </c>
      <c r="I2" s="258" t="s">
        <v>508</v>
      </c>
      <c r="J2" s="258" t="s">
        <v>508</v>
      </c>
      <c r="K2" s="258" t="s">
        <v>508</v>
      </c>
      <c r="L2" s="258" t="s">
        <v>508</v>
      </c>
      <c r="M2" s="258" t="s">
        <v>508</v>
      </c>
      <c r="N2" s="258" t="s">
        <v>508</v>
      </c>
      <c r="O2" s="258" t="s">
        <v>508</v>
      </c>
      <c r="P2" s="258" t="s">
        <v>508</v>
      </c>
      <c r="Q2" s="258" t="s">
        <v>508</v>
      </c>
      <c r="R2" s="258" t="s">
        <v>508</v>
      </c>
      <c r="S2" s="258" t="s">
        <v>508</v>
      </c>
      <c r="T2" s="258" t="s">
        <v>508</v>
      </c>
      <c r="U2" s="258" t="s">
        <v>508</v>
      </c>
      <c r="V2" s="258" t="s">
        <v>508</v>
      </c>
      <c r="W2" s="258" t="s">
        <v>508</v>
      </c>
      <c r="X2" s="258" t="s">
        <v>508</v>
      </c>
      <c r="Y2" s="258" t="s">
        <v>508</v>
      </c>
      <c r="Z2" s="258" t="s">
        <v>508</v>
      </c>
      <c r="AA2" s="258" t="s">
        <v>508</v>
      </c>
      <c r="AB2" s="258" t="s">
        <v>508</v>
      </c>
      <c r="AC2" s="258" t="s">
        <v>508</v>
      </c>
      <c r="AD2" s="258" t="s">
        <v>508</v>
      </c>
      <c r="AE2" s="258" t="s">
        <v>508</v>
      </c>
      <c r="AF2" s="258" t="s">
        <v>508</v>
      </c>
      <c r="AG2" s="258" t="s">
        <v>508</v>
      </c>
      <c r="AH2" s="258" t="s">
        <v>508</v>
      </c>
      <c r="AI2" s="258" t="s">
        <v>508</v>
      </c>
      <c r="AJ2" s="258" t="s">
        <v>508</v>
      </c>
      <c r="AK2" s="258" t="s">
        <v>508</v>
      </c>
      <c r="AL2" s="258" t="s">
        <v>508</v>
      </c>
      <c r="AM2" s="258" t="s">
        <v>508</v>
      </c>
      <c r="AN2" s="258" t="s">
        <v>508</v>
      </c>
      <c r="AO2" s="258" t="s">
        <v>508</v>
      </c>
      <c r="AP2" s="258" t="s">
        <v>508</v>
      </c>
      <c r="AQ2" s="258" t="s">
        <v>508</v>
      </c>
      <c r="AR2" s="258" t="s">
        <v>508</v>
      </c>
      <c r="AS2" s="258" t="s">
        <v>508</v>
      </c>
      <c r="AT2" s="258" t="s">
        <v>508</v>
      </c>
      <c r="AU2" s="258" t="s">
        <v>508</v>
      </c>
      <c r="AV2" s="258" t="s">
        <v>508</v>
      </c>
      <c r="AW2" s="258" t="s">
        <v>508</v>
      </c>
      <c r="AX2" s="258" t="s">
        <v>508</v>
      </c>
      <c r="AY2" s="258" t="s">
        <v>508</v>
      </c>
      <c r="AZ2" s="258" t="s">
        <v>508</v>
      </c>
      <c r="BA2" s="258" t="s">
        <v>508</v>
      </c>
      <c r="BB2" s="258" t="s">
        <v>508</v>
      </c>
      <c r="BC2" s="258" t="s">
        <v>508</v>
      </c>
    </row>
    <row r="3" spans="1:55" x14ac:dyDescent="0.2">
      <c r="A3" s="257" t="s">
        <v>592</v>
      </c>
      <c r="B3" s="257" t="s">
        <v>592</v>
      </c>
      <c r="C3" s="257" t="s">
        <v>592</v>
      </c>
      <c r="D3" s="257" t="s">
        <v>592</v>
      </c>
      <c r="E3" s="259"/>
      <c r="F3" s="257" t="s">
        <v>592</v>
      </c>
      <c r="G3" s="257" t="s">
        <v>592</v>
      </c>
      <c r="H3" s="259"/>
      <c r="I3" s="257" t="s">
        <v>592</v>
      </c>
      <c r="J3" s="257" t="s">
        <v>592</v>
      </c>
      <c r="K3" s="257" t="s">
        <v>592</v>
      </c>
      <c r="L3" s="257" t="s">
        <v>592</v>
      </c>
      <c r="M3" s="257" t="s">
        <v>592</v>
      </c>
      <c r="N3" s="257" t="s">
        <v>592</v>
      </c>
      <c r="O3" s="257" t="s">
        <v>592</v>
      </c>
      <c r="P3" s="257" t="s">
        <v>592</v>
      </c>
      <c r="Q3" s="257" t="s">
        <v>592</v>
      </c>
      <c r="R3" s="257" t="s">
        <v>592</v>
      </c>
      <c r="S3" s="257" t="s">
        <v>592</v>
      </c>
      <c r="T3" s="257" t="s">
        <v>592</v>
      </c>
      <c r="U3" s="257" t="s">
        <v>592</v>
      </c>
      <c r="V3" s="257" t="s">
        <v>592</v>
      </c>
      <c r="W3" s="257" t="s">
        <v>592</v>
      </c>
      <c r="X3" s="257" t="s">
        <v>592</v>
      </c>
      <c r="Y3" s="257" t="s">
        <v>592</v>
      </c>
      <c r="Z3" s="257" t="s">
        <v>592</v>
      </c>
      <c r="AA3" s="257" t="s">
        <v>592</v>
      </c>
      <c r="AB3" s="257" t="s">
        <v>592</v>
      </c>
      <c r="AC3" s="257" t="s">
        <v>592</v>
      </c>
      <c r="AD3" s="257" t="s">
        <v>592</v>
      </c>
      <c r="AE3" s="257" t="s">
        <v>592</v>
      </c>
      <c r="AF3" s="257" t="s">
        <v>592</v>
      </c>
      <c r="AG3" s="257" t="s">
        <v>592</v>
      </c>
      <c r="AH3" s="257" t="s">
        <v>592</v>
      </c>
      <c r="AI3" s="259"/>
      <c r="AJ3" s="257" t="s">
        <v>592</v>
      </c>
      <c r="AK3" s="257" t="s">
        <v>592</v>
      </c>
      <c r="AL3" s="257" t="s">
        <v>592</v>
      </c>
      <c r="AM3" s="257" t="s">
        <v>592</v>
      </c>
      <c r="AN3" s="259"/>
      <c r="AO3" s="257" t="s">
        <v>592</v>
      </c>
      <c r="AP3" s="257" t="s">
        <v>592</v>
      </c>
      <c r="AQ3" s="257" t="s">
        <v>592</v>
      </c>
      <c r="AR3" s="257" t="s">
        <v>592</v>
      </c>
      <c r="AS3" s="257" t="s">
        <v>592</v>
      </c>
      <c r="AT3" s="257" t="s">
        <v>592</v>
      </c>
      <c r="AU3" s="257" t="s">
        <v>592</v>
      </c>
      <c r="AV3" s="257" t="s">
        <v>592</v>
      </c>
      <c r="AW3" s="257" t="s">
        <v>592</v>
      </c>
      <c r="AX3" s="257" t="s">
        <v>592</v>
      </c>
      <c r="AY3" s="257" t="s">
        <v>592</v>
      </c>
      <c r="AZ3" s="257" t="s">
        <v>592</v>
      </c>
      <c r="BA3" s="257" t="s">
        <v>592</v>
      </c>
      <c r="BB3" s="259"/>
      <c r="BC3" s="257" t="s">
        <v>592</v>
      </c>
    </row>
  </sheetData>
  <sheetProtection password="FBCD" sheet="1" objects="1" scenarios="1" selectLockedCells="1"/>
  <hyperlinks>
    <hyperlink ref="A2" location="'STREET VALUE'!C1" display="GO BACK" xr:uid="{00000000-0004-0000-0600-000000000000}"/>
    <hyperlink ref="B2" location="'STREET VALUE'!C1" display="GO BACK" xr:uid="{00000000-0004-0000-0600-000001000000}"/>
    <hyperlink ref="C2:J2" location="'STREET VALUE'!C1" display="GO BACK" xr:uid="{00000000-0004-0000-0600-000002000000}"/>
    <hyperlink ref="K2" location="'STREET VALUE'!M1" display="GO BACK" xr:uid="{00000000-0004-0000-0600-000003000000}"/>
    <hyperlink ref="L2:T2" location="'STREET VALUE'!M1" display="GO BACK" xr:uid="{00000000-0004-0000-0600-000004000000}"/>
    <hyperlink ref="U2" location="'STREET VALUE'!W1" display="GO BACK" xr:uid="{00000000-0004-0000-0600-000005000000}"/>
    <hyperlink ref="V2:AD2" location="'STREET VALUE'!W1" display="GO BACK" xr:uid="{00000000-0004-0000-0600-000006000000}"/>
    <hyperlink ref="AE2" location="'STREET VALUE'!AG1" display="GO BACK" xr:uid="{00000000-0004-0000-0600-000007000000}"/>
    <hyperlink ref="AO2" location="'STREET VALUE'!AQ1" display="GO BACK" xr:uid="{00000000-0004-0000-0600-000008000000}"/>
    <hyperlink ref="AP2:AX2" location="'STREET VALUE'!AQ1" display="GO BACK" xr:uid="{00000000-0004-0000-0600-000009000000}"/>
    <hyperlink ref="AY2" location="'STREET VALUE'!BA1" display="GO BACK" xr:uid="{00000000-0004-0000-0600-00000A000000}"/>
    <hyperlink ref="AZ2:BC2" location="'STREET VALUE'!BA1" display="GO BACK" xr:uid="{00000000-0004-0000-0600-00000B000000}"/>
    <hyperlink ref="AF2:AN2" location="'STREET VALUE'!AG1" display="GO BACK" xr:uid="{00000000-0004-0000-0600-00000C000000}"/>
    <hyperlink ref="AQ2" location="'STREET VALUE'!AS1" display="GO BACK" xr:uid="{00000000-0004-0000-0600-00000D000000}"/>
    <hyperlink ref="AR2" location="'STREET VALUE'!AT1" display="GO BACK" xr:uid="{00000000-0004-0000-0600-00000E000000}"/>
    <hyperlink ref="AS2" location="'STREET VALUE'!AU1" display="GO BACK" xr:uid="{00000000-0004-0000-0600-00000F000000}"/>
    <hyperlink ref="AT2" location="'STREET VALUE'!AV1" display="GO BACK" xr:uid="{00000000-0004-0000-0600-000010000000}"/>
    <hyperlink ref="AU2" location="'STREET VALUE'!AW1" display="GO BACK" xr:uid="{00000000-0004-0000-0600-000011000000}"/>
    <hyperlink ref="AV2" location="'STREET VALUE'!AX1" display="GO BACK" xr:uid="{00000000-0004-0000-0600-000012000000}"/>
    <hyperlink ref="AW2" location="'STREET VALUE'!AY1" display="GO BACK" xr:uid="{00000000-0004-0000-0600-000013000000}"/>
    <hyperlink ref="AX2" location="'STREET VALUE'!AZ1" display="GO BACK" xr:uid="{00000000-0004-0000-0600-000014000000}"/>
  </hyperlinks>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STATS</vt:lpstr>
      <vt:lpstr>STREET VALUE</vt:lpstr>
      <vt:lpstr>IMPORTANT NOTES</vt:lpstr>
      <vt:lpstr>REVISIONS</vt:lpstr>
      <vt:lpstr>Steel-String Rosettes</vt:lpstr>
      <vt:lpstr>Steel-String Rosettes (2)</vt:lpstr>
      <vt:lpstr>Photos of Invoices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Joe Brock</dc:creator>
  <cp:lastModifiedBy>Joseph Brock</cp:lastModifiedBy>
  <cp:lastPrinted>2009-06-15T23:25:15Z</cp:lastPrinted>
  <dcterms:created xsi:type="dcterms:W3CDTF">2009-05-14T02:23:30Z</dcterms:created>
  <dcterms:modified xsi:type="dcterms:W3CDTF">2022-09-21T00:00:06Z</dcterms:modified>
</cp:coreProperties>
</file>